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gnettamu0-my.sharepoint.com/personal/annette_cayard_agnet_tamu_edu/Documents/District Website/Extension Publications/"/>
    </mc:Choice>
  </mc:AlternateContent>
  <xr:revisionPtr revIDLastSave="0" documentId="8_{F39D6EE9-6861-4193-923A-9258E96F726D}" xr6:coauthVersionLast="44" xr6:coauthVersionMax="44" xr10:uidLastSave="{00000000-0000-0000-0000-000000000000}"/>
  <bookViews>
    <workbookView xWindow="-25935" yWindow="105" windowWidth="21600" windowHeight="11385" xr2:uid="{00000000-000D-0000-FFFF-FFFF00000000}"/>
  </bookViews>
  <sheets>
    <sheet name="Sugarcane Aphid Analysis" sheetId="13" r:id="rId1"/>
    <sheet name="Analysis" sheetId="15" state="hidden" r:id="rId2"/>
    <sheet name="Sheet1" sheetId="16" state="hidden" r:id="rId3"/>
  </sheets>
  <externalReferences>
    <externalReference r:id="rId4"/>
  </externalReferences>
  <definedNames>
    <definedName name="Acres">#REF!</definedName>
    <definedName name="Alfalfa_Price">'[1]2013 Universal Input Prices'!$B$20</definedName>
    <definedName name="Corn_Price">'[1]2013 Universal Input Prices'!$B$23</definedName>
    <definedName name="Corn_Silage_Price">'[1]2013 Universal Input Prices'!$B$26</definedName>
    <definedName name="DieselPrice">'[1]2013 Universal Input Prices'!$B$38</definedName>
    <definedName name="District">'[1]2013 Universal Input Prices'!$A$1</definedName>
    <definedName name="Economist">'[1]2013 Universal Input Prices'!$A$3</definedName>
    <definedName name="EndCC">#REF!</definedName>
    <definedName name="FuelperGallon">#REF!</definedName>
    <definedName name="GasPrice">'[1]2013 Universal Input Prices'!$B$39</definedName>
    <definedName name="Guar_Price">'[1]2013 Universal Input Prices'!$B$30</definedName>
    <definedName name="Herd">#REF!</definedName>
    <definedName name="Herd1">#REF!</definedName>
    <definedName name="Interestrate">'[1]2013 Universal Input Prices'!$B$41</definedName>
    <definedName name="Labor_Rate">#REF!</definedName>
    <definedName name="Pumpkin_Price">'[1]2013 Universal Input Prices'!#REF!</definedName>
    <definedName name="Safflower_Price">'[1]2013 Universal Input Prices'!#REF!</definedName>
    <definedName name="Sesame_Price">'[1]2013 Universal Input Prices'!#REF!</definedName>
    <definedName name="Sorghum_Silage_Price">'[1]2013 Universal Input Prices'!#REF!</definedName>
    <definedName name="Soybean_Price">'[1]2013 Universal Input Prices'!#REF!</definedName>
    <definedName name="StartCC">#REF!</definedName>
    <definedName name="Sunflower___Conf__small">'[1]2013 Universal Input Prices'!#REF!</definedName>
    <definedName name="Sunflower_Conf_Price">'[1]2013 Universal Input Prices'!#REF!</definedName>
    <definedName name="Sunflower_Oil_Price">'[1]2013 Universal Input Prices'!#REF!</definedName>
    <definedName name="Wheat_Price">'[1]2013 Universal Input Prices'!#REF!</definedName>
    <definedName name="Year">'[1]2013 Universal Input Prices'!$B$5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3" i="16" l="1"/>
  <c r="D33" i="16"/>
  <c r="H32" i="16"/>
  <c r="G32" i="16"/>
  <c r="E32" i="16"/>
  <c r="D32" i="16"/>
  <c r="B36" i="16" s="1"/>
  <c r="B38" i="16" s="1"/>
  <c r="B32" i="16"/>
  <c r="B35" i="16" s="1"/>
  <c r="B28" i="16"/>
  <c r="X15" i="15"/>
  <c r="H28" i="13"/>
  <c r="X5" i="15" s="1"/>
  <c r="G28" i="13"/>
  <c r="Q18" i="13"/>
  <c r="Q14" i="13"/>
  <c r="I12" i="13"/>
  <c r="X12" i="15" l="1"/>
  <c r="F12" i="15" s="1"/>
  <c r="X8" i="15"/>
  <c r="X7" i="15"/>
  <c r="F7" i="15" s="1"/>
  <c r="X6" i="15"/>
  <c r="X11" i="15"/>
  <c r="F11" i="15" s="1"/>
  <c r="X10" i="15"/>
  <c r="X9" i="15"/>
  <c r="W15" i="15"/>
  <c r="W5" i="15"/>
  <c r="E5" i="15"/>
  <c r="N5" i="15"/>
  <c r="N15" i="15"/>
  <c r="E15" i="15"/>
  <c r="F5" i="15"/>
  <c r="X22" i="15"/>
  <c r="X18" i="15"/>
  <c r="X21" i="15"/>
  <c r="X20" i="15"/>
  <c r="X19" i="15"/>
  <c r="X16" i="15"/>
  <c r="X17" i="15"/>
  <c r="O15" i="15"/>
  <c r="J28" i="13"/>
  <c r="F28" i="13"/>
  <c r="F15" i="15"/>
  <c r="I28" i="13"/>
  <c r="O5" i="15"/>
  <c r="E28" i="13"/>
  <c r="K28" i="13"/>
  <c r="O11" i="15"/>
  <c r="O7" i="15"/>
  <c r="O12" i="15"/>
  <c r="C15" i="15" l="1"/>
  <c r="C5" i="15"/>
  <c r="L5" i="15"/>
  <c r="U15" i="15"/>
  <c r="L15" i="15"/>
  <c r="U5" i="15"/>
  <c r="M15" i="15"/>
  <c r="M5" i="15"/>
  <c r="V15" i="15"/>
  <c r="D15" i="15"/>
  <c r="V5" i="15"/>
  <c r="D5" i="15"/>
  <c r="F16" i="15"/>
  <c r="O16" i="15"/>
  <c r="O18" i="15"/>
  <c r="F18" i="15"/>
  <c r="W19" i="15"/>
  <c r="W18" i="15"/>
  <c r="W17" i="15"/>
  <c r="W16" i="15"/>
  <c r="W22" i="15"/>
  <c r="W21" i="15"/>
  <c r="W20" i="15"/>
  <c r="F6" i="15"/>
  <c r="H29" i="13" s="1"/>
  <c r="O6" i="15"/>
  <c r="Q15" i="15"/>
  <c r="Q5" i="15"/>
  <c r="H15" i="15"/>
  <c r="Z5" i="15"/>
  <c r="H5" i="15"/>
  <c r="Z15" i="15"/>
  <c r="O19" i="15"/>
  <c r="F19" i="15"/>
  <c r="O22" i="15"/>
  <c r="F22" i="15"/>
  <c r="H35" i="13" s="1"/>
  <c r="F9" i="15"/>
  <c r="H32" i="13" s="1"/>
  <c r="O9" i="15"/>
  <c r="G15" i="15"/>
  <c r="G5" i="15"/>
  <c r="Y5" i="15"/>
  <c r="P5" i="15"/>
  <c r="Y15" i="15"/>
  <c r="P15" i="15"/>
  <c r="F20" i="15"/>
  <c r="O20" i="15"/>
  <c r="F10" i="15"/>
  <c r="O10" i="15"/>
  <c r="F8" i="15"/>
  <c r="O8" i="15"/>
  <c r="AA15" i="15"/>
  <c r="AA5" i="15"/>
  <c r="R5" i="15"/>
  <c r="R15" i="15"/>
  <c r="I15" i="15"/>
  <c r="I5" i="15"/>
  <c r="O17" i="15"/>
  <c r="F17" i="15"/>
  <c r="H30" i="13" s="1"/>
  <c r="O21" i="15"/>
  <c r="F21" i="15"/>
  <c r="W9" i="15"/>
  <c r="W8" i="15"/>
  <c r="W7" i="15"/>
  <c r="W6" i="15"/>
  <c r="W12" i="15"/>
  <c r="W11" i="15"/>
  <c r="W10" i="15"/>
  <c r="H34" i="13"/>
  <c r="E6" i="15" l="1"/>
  <c r="N6" i="15"/>
  <c r="AA9" i="15"/>
  <c r="AA12" i="15"/>
  <c r="AA11" i="15"/>
  <c r="AA10" i="15"/>
  <c r="AA8" i="15"/>
  <c r="AA7" i="15"/>
  <c r="AA6" i="15"/>
  <c r="N16" i="15"/>
  <c r="E16" i="15"/>
  <c r="U21" i="15"/>
  <c r="U17" i="15"/>
  <c r="U16" i="15"/>
  <c r="U22" i="15"/>
  <c r="U20" i="15"/>
  <c r="U19" i="15"/>
  <c r="U18" i="15"/>
  <c r="E10" i="15"/>
  <c r="N10" i="15"/>
  <c r="E7" i="15"/>
  <c r="N7" i="15"/>
  <c r="AA19" i="15"/>
  <c r="AA22" i="15"/>
  <c r="AA21" i="15"/>
  <c r="AA20" i="15"/>
  <c r="AA18" i="15"/>
  <c r="AA17" i="15"/>
  <c r="AA16" i="15"/>
  <c r="H33" i="13"/>
  <c r="Y21" i="15"/>
  <c r="Y17" i="15"/>
  <c r="Y22" i="15"/>
  <c r="Y16" i="15"/>
  <c r="Y20" i="15"/>
  <c r="Y19" i="15"/>
  <c r="Y18" i="15"/>
  <c r="Z20" i="15"/>
  <c r="Z16" i="15"/>
  <c r="Z19" i="15"/>
  <c r="Z18" i="15"/>
  <c r="Z17" i="15"/>
  <c r="Z22" i="15"/>
  <c r="Z21" i="15"/>
  <c r="N20" i="15"/>
  <c r="E20" i="15"/>
  <c r="E17" i="15"/>
  <c r="N17" i="15"/>
  <c r="V10" i="15"/>
  <c r="V6" i="15"/>
  <c r="V12" i="15"/>
  <c r="V11" i="15"/>
  <c r="V9" i="15"/>
  <c r="V8" i="15"/>
  <c r="V7" i="15"/>
  <c r="E11" i="15"/>
  <c r="N11" i="15"/>
  <c r="E8" i="15"/>
  <c r="N8" i="15"/>
  <c r="E21" i="15"/>
  <c r="N21" i="15"/>
  <c r="N18" i="15"/>
  <c r="E18" i="15"/>
  <c r="U11" i="15"/>
  <c r="U7" i="15"/>
  <c r="U10" i="15"/>
  <c r="U9" i="15"/>
  <c r="U8" i="15"/>
  <c r="U12" i="15"/>
  <c r="U6" i="15"/>
  <c r="E12" i="15"/>
  <c r="N12" i="15"/>
  <c r="E9" i="15"/>
  <c r="N9" i="15"/>
  <c r="H31" i="13"/>
  <c r="Y11" i="15"/>
  <c r="Y7" i="15"/>
  <c r="Y6" i="15"/>
  <c r="Y8" i="15"/>
  <c r="Y12" i="15"/>
  <c r="Y10" i="15"/>
  <c r="Y9" i="15"/>
  <c r="Z10" i="15"/>
  <c r="Z6" i="15"/>
  <c r="Z9" i="15"/>
  <c r="Z8" i="15"/>
  <c r="Z7" i="15"/>
  <c r="Z12" i="15"/>
  <c r="Z11" i="15"/>
  <c r="N22" i="15"/>
  <c r="E22" i="15"/>
  <c r="N19" i="15"/>
  <c r="E19" i="15"/>
  <c r="V20" i="15"/>
  <c r="V16" i="15"/>
  <c r="V19" i="15"/>
  <c r="V18" i="15"/>
  <c r="V17" i="15"/>
  <c r="V22" i="15"/>
  <c r="V21" i="15"/>
  <c r="D21" i="15" l="1"/>
  <c r="M21" i="15"/>
  <c r="M19" i="15"/>
  <c r="D19" i="15"/>
  <c r="H12" i="15"/>
  <c r="Q12" i="15"/>
  <c r="Q6" i="15"/>
  <c r="H6" i="15"/>
  <c r="G12" i="15"/>
  <c r="P12" i="15"/>
  <c r="G11" i="15"/>
  <c r="P11" i="15"/>
  <c r="L8" i="15"/>
  <c r="C8" i="15"/>
  <c r="L11" i="15"/>
  <c r="C11" i="15"/>
  <c r="E34" i="13" s="1"/>
  <c r="G34" i="13"/>
  <c r="M11" i="15"/>
  <c r="D11" i="15"/>
  <c r="F34" i="13" s="1"/>
  <c r="Q21" i="15"/>
  <c r="H21" i="15"/>
  <c r="Q19" i="15"/>
  <c r="H19" i="15"/>
  <c r="G19" i="15"/>
  <c r="P19" i="15"/>
  <c r="P17" i="15"/>
  <c r="G17" i="15"/>
  <c r="I17" i="15"/>
  <c r="R17" i="15"/>
  <c r="R22" i="15"/>
  <c r="I22" i="15"/>
  <c r="L20" i="15"/>
  <c r="C20" i="15"/>
  <c r="L21" i="15"/>
  <c r="C21" i="15"/>
  <c r="I7" i="15"/>
  <c r="K30" i="13" s="1"/>
  <c r="R7" i="15"/>
  <c r="I12" i="15"/>
  <c r="R12" i="15"/>
  <c r="D22" i="15"/>
  <c r="M22" i="15"/>
  <c r="M16" i="15"/>
  <c r="D16" i="15"/>
  <c r="Q7" i="15"/>
  <c r="H7" i="15"/>
  <c r="H10" i="15"/>
  <c r="Q10" i="15"/>
  <c r="G8" i="15"/>
  <c r="I31" i="13" s="1"/>
  <c r="P8" i="15"/>
  <c r="G35" i="13"/>
  <c r="C9" i="15"/>
  <c r="L9" i="15"/>
  <c r="D7" i="15"/>
  <c r="M7" i="15"/>
  <c r="D12" i="15"/>
  <c r="M12" i="15"/>
  <c r="H22" i="15"/>
  <c r="Q22" i="15"/>
  <c r="H16" i="15"/>
  <c r="Q16" i="15"/>
  <c r="P20" i="15"/>
  <c r="G20" i="15"/>
  <c r="P21" i="15"/>
  <c r="G21" i="15"/>
  <c r="R18" i="15"/>
  <c r="I18" i="15"/>
  <c r="I19" i="15"/>
  <c r="R19" i="15"/>
  <c r="G33" i="13"/>
  <c r="L22" i="15"/>
  <c r="C22" i="15"/>
  <c r="I8" i="15"/>
  <c r="K31" i="13" s="1"/>
  <c r="R8" i="15"/>
  <c r="R9" i="15"/>
  <c r="I9" i="15"/>
  <c r="M17" i="15"/>
  <c r="D17" i="15"/>
  <c r="D20" i="15"/>
  <c r="M20" i="15"/>
  <c r="H8" i="15"/>
  <c r="Q8" i="15"/>
  <c r="G9" i="15"/>
  <c r="P9" i="15"/>
  <c r="G6" i="15"/>
  <c r="P6" i="15"/>
  <c r="C6" i="15"/>
  <c r="L6" i="15"/>
  <c r="C10" i="15"/>
  <c r="E33" i="13" s="1"/>
  <c r="L10" i="15"/>
  <c r="G31" i="13"/>
  <c r="D8" i="15"/>
  <c r="M8" i="15"/>
  <c r="D6" i="15"/>
  <c r="M6" i="15"/>
  <c r="H17" i="15"/>
  <c r="Q17" i="15"/>
  <c r="Q20" i="15"/>
  <c r="H20" i="15"/>
  <c r="P16" i="15"/>
  <c r="G16" i="15"/>
  <c r="I20" i="15"/>
  <c r="R20" i="15"/>
  <c r="C18" i="15"/>
  <c r="L18" i="15"/>
  <c r="L16" i="15"/>
  <c r="C16" i="15"/>
  <c r="R10" i="15"/>
  <c r="I10" i="15"/>
  <c r="K33" i="13" s="1"/>
  <c r="D18" i="15"/>
  <c r="M18" i="15"/>
  <c r="H11" i="15"/>
  <c r="Q11" i="15"/>
  <c r="H9" i="15"/>
  <c r="Q9" i="15"/>
  <c r="G10" i="15"/>
  <c r="P10" i="15"/>
  <c r="G7" i="15"/>
  <c r="P7" i="15"/>
  <c r="G32" i="13"/>
  <c r="L12" i="15"/>
  <c r="C12" i="15"/>
  <c r="L7" i="15"/>
  <c r="C7" i="15"/>
  <c r="E30" i="13" s="1"/>
  <c r="D9" i="15"/>
  <c r="F32" i="13" s="1"/>
  <c r="M9" i="15"/>
  <c r="M10" i="15"/>
  <c r="D10" i="15"/>
  <c r="F33" i="13" s="1"/>
  <c r="H18" i="15"/>
  <c r="Q18" i="15"/>
  <c r="P18" i="15"/>
  <c r="G18" i="15"/>
  <c r="P22" i="15"/>
  <c r="G22" i="15"/>
  <c r="R16" i="15"/>
  <c r="I16" i="15"/>
  <c r="I21" i="15"/>
  <c r="R21" i="15"/>
  <c r="G30" i="13"/>
  <c r="C19" i="15"/>
  <c r="L19" i="15"/>
  <c r="C17" i="15"/>
  <c r="L17" i="15"/>
  <c r="I6" i="15"/>
  <c r="R6" i="15"/>
  <c r="I11" i="15"/>
  <c r="R11" i="15"/>
  <c r="G29" i="13"/>
  <c r="I29" i="13" l="1"/>
  <c r="J34" i="13"/>
  <c r="F31" i="13"/>
  <c r="K32" i="13"/>
  <c r="F35" i="13"/>
  <c r="E32" i="13"/>
  <c r="I34" i="13"/>
  <c r="E29" i="13"/>
  <c r="I32" i="13"/>
  <c r="J33" i="13"/>
  <c r="K35" i="13"/>
  <c r="E31" i="13"/>
  <c r="J31" i="13"/>
  <c r="J29" i="13"/>
  <c r="K29" i="13"/>
  <c r="I33" i="13"/>
  <c r="K34" i="13"/>
  <c r="E35" i="13"/>
  <c r="I30" i="13"/>
  <c r="J32" i="13"/>
  <c r="F29" i="13"/>
  <c r="F30" i="13"/>
  <c r="J30" i="13"/>
  <c r="I35" i="13"/>
  <c r="J35" i="13"/>
</calcChain>
</file>

<file path=xl/sharedStrings.xml><?xml version="1.0" encoding="utf-8"?>
<sst xmlns="http://schemas.openxmlformats.org/spreadsheetml/2006/main" count="38" uniqueCount="38">
  <si>
    <t>Gross After Treatment</t>
  </si>
  <si>
    <t>Gross Before Treatment</t>
  </si>
  <si>
    <t>Production Expenses with treatment</t>
  </si>
  <si>
    <t>Yield after treatment</t>
  </si>
  <si>
    <t>Production Expenses without treatment</t>
  </si>
  <si>
    <t>Yield without treatment</t>
  </si>
  <si>
    <t>Treatment Cost ($/Ac)</t>
  </si>
  <si>
    <t>Average cost of planter modifications</t>
  </si>
  <si>
    <t>Estimated Useful life</t>
  </si>
  <si>
    <t>Estimated salvage value at end of useful life</t>
  </si>
  <si>
    <t>Annual Depreciation</t>
  </si>
  <si>
    <t>Planter modifications</t>
  </si>
  <si>
    <t>5a 2012 Dryland Cotton Acres Planted</t>
  </si>
  <si>
    <t>5b 2012 Irrigated Cotton Acres Planted</t>
  </si>
  <si>
    <t>Per Acre Depreciation</t>
  </si>
  <si>
    <t>10a Additional per acre labor costs attributable to TopGuard</t>
  </si>
  <si>
    <t>10b Additional per Fuel costs attributable to TopGuard</t>
  </si>
  <si>
    <t>Nominal per acre expense incurred applying topguard</t>
  </si>
  <si>
    <t>Treatment cost includes cost of chemical, application, and repairs.</t>
  </si>
  <si>
    <t>Application Cost ($/ac)</t>
  </si>
  <si>
    <t>Sugarcane Aphid Treatment Decision Tool for Grain Sorghum</t>
  </si>
  <si>
    <t>Sugarcane Aphid Count per Leaf</t>
  </si>
  <si>
    <t>Sorghum Price ($/bu)</t>
  </si>
  <si>
    <t>Harvest Cost ($/bu)</t>
  </si>
  <si>
    <t>Transportation Cost ($/bu)</t>
  </si>
  <si>
    <t>Yield Loss per 100 Aphids (bu/ac)</t>
  </si>
  <si>
    <t>Expected Yield without Sugarcane Aphid Damage (bu/ac)</t>
  </si>
  <si>
    <t>Expected Grain Sorghum Yield (bu/ac) without Sugarcane Aphid Damage</t>
  </si>
  <si>
    <t>Chemical Cost ($/ac)</t>
  </si>
  <si>
    <t>Treatment Decision Based on Yield Potential</t>
  </si>
  <si>
    <t>and Sugarcane Aphid Count per Leaf</t>
  </si>
  <si>
    <t>All values in blue can be edited to fit your operation.</t>
  </si>
  <si>
    <t>WARNING: The default "Yield Loss per 100 Aphids" value is NOT VALID for the Texas High Plains region. Consult your local Extension Entomology faculty to ensure accurate information for your region.</t>
  </si>
  <si>
    <t>Yield in bu/ac</t>
  </si>
  <si>
    <t>Yield in cwt/ac</t>
  </si>
  <si>
    <t>Hundredweight to Bushel Converter</t>
  </si>
  <si>
    <t>Price in $/cwt</t>
  </si>
  <si>
    <t>Price in $/bu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</si>
</sst>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.0"/>
    <numFmt numFmtId="165" formatCode="&quot;$&quot;#,##0.00"/>
    <numFmt numFmtId="166" formatCode="&quot;$&quot;#,##0.00;\(&quot;$&quot;#,##0.00\)"/>
    <numFmt numFmtId="167" formatCode="0.00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color rgb="FF0000FF"/>
      <name val="Univers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9"/>
      <name val="Arial"/>
      <family val="2"/>
    </font>
    <font>
      <b/>
      <sz val="16"/>
      <name val="Arial"/>
      <family val="2"/>
    </font>
    <font>
      <sz val="10"/>
      <color rgb="FFFF0000"/>
      <name val="Univers"/>
    </font>
    <font>
      <b/>
      <sz val="10"/>
      <name val="Univers"/>
    </font>
    <font>
      <sz val="10"/>
      <name val="Univers"/>
    </font>
    <font>
      <b/>
      <sz val="10"/>
      <color rgb="FF0000FF"/>
      <name val="Univers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CEE8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22"/>
        <bgColor indexed="0"/>
      </patternFill>
    </fill>
  </fills>
  <borders count="18">
    <border>
      <left/>
      <right/>
      <top/>
      <bottom/>
      <diagonal/>
    </border>
    <border>
      <left/>
      <right style="dashed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6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78">
    <xf numFmtId="0" fontId="0" fillId="0" borderId="0" xfId="0"/>
    <xf numFmtId="0" fontId="4" fillId="2" borderId="1" xfId="0" applyFont="1" applyFill="1" applyBorder="1" applyAlignment="1" applyProtection="1">
      <alignment horizontal="left"/>
      <protection hidden="1"/>
    </xf>
    <xf numFmtId="0" fontId="4" fillId="2" borderId="1" xfId="0" applyFont="1" applyFill="1" applyBorder="1" applyProtection="1">
      <protection hidden="1"/>
    </xf>
    <xf numFmtId="165" fontId="6" fillId="4" borderId="0" xfId="1" applyNumberFormat="1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4" fillId="2" borderId="0" xfId="0" applyFont="1" applyFill="1" applyBorder="1" applyAlignment="1" applyProtection="1">
      <alignment horizontal="left"/>
      <protection hidden="1"/>
    </xf>
    <xf numFmtId="0" fontId="4" fillId="2" borderId="0" xfId="0" applyFont="1" applyFill="1" applyBorder="1" applyProtection="1">
      <protection hidden="1"/>
    </xf>
    <xf numFmtId="9" fontId="3" fillId="0" borderId="8" xfId="2" applyFont="1" applyFill="1" applyBorder="1" applyAlignment="1" applyProtection="1">
      <alignment horizontal="center"/>
    </xf>
    <xf numFmtId="0" fontId="0" fillId="0" borderId="0" xfId="0" applyBorder="1" applyProtection="1"/>
    <xf numFmtId="0" fontId="4" fillId="0" borderId="0" xfId="0" applyFont="1" applyBorder="1" applyProtection="1"/>
    <xf numFmtId="0" fontId="5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3" xfId="0" applyBorder="1" applyProtection="1"/>
    <xf numFmtId="0" fontId="0" fillId="0" borderId="7" xfId="0" applyBorder="1" applyProtection="1"/>
    <xf numFmtId="0" fontId="4" fillId="0" borderId="0" xfId="0" applyFont="1" applyBorder="1" applyAlignment="1" applyProtection="1">
      <alignment horizontal="left" wrapText="1"/>
    </xf>
    <xf numFmtId="0" fontId="0" fillId="0" borderId="9" xfId="0" applyBorder="1" applyProtection="1"/>
    <xf numFmtId="0" fontId="0" fillId="0" borderId="12" xfId="0" applyBorder="1" applyProtection="1"/>
    <xf numFmtId="0" fontId="3" fillId="0" borderId="9" xfId="0" applyFont="1" applyBorder="1" applyAlignment="1" applyProtection="1">
      <alignment vertical="center" textRotation="90"/>
    </xf>
    <xf numFmtId="8" fontId="0" fillId="0" borderId="8" xfId="0" applyNumberFormat="1" applyBorder="1" applyProtection="1"/>
    <xf numFmtId="0" fontId="2" fillId="0" borderId="0" xfId="0" applyFont="1" applyBorder="1" applyProtection="1"/>
    <xf numFmtId="0" fontId="2" fillId="0" borderId="4" xfId="0" applyFont="1" applyBorder="1" applyProtection="1"/>
    <xf numFmtId="0" fontId="2" fillId="0" borderId="3" xfId="0" applyFont="1" applyBorder="1" applyProtection="1"/>
    <xf numFmtId="165" fontId="2" fillId="0" borderId="3" xfId="0" applyNumberFormat="1" applyFont="1" applyBorder="1" applyProtection="1"/>
    <xf numFmtId="0" fontId="2" fillId="0" borderId="2" xfId="0" applyFont="1" applyBorder="1" applyProtection="1"/>
    <xf numFmtId="0" fontId="2" fillId="0" borderId="0" xfId="0" applyFont="1" applyProtection="1"/>
    <xf numFmtId="1" fontId="6" fillId="4" borderId="0" xfId="1" applyNumberFormat="1" applyFont="1" applyFill="1" applyBorder="1" applyAlignment="1" applyProtection="1">
      <alignment horizontal="center"/>
      <protection locked="0"/>
    </xf>
    <xf numFmtId="164" fontId="6" fillId="0" borderId="0" xfId="1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8" fillId="0" borderId="0" xfId="15"/>
    <xf numFmtId="0" fontId="9" fillId="0" borderId="13" xfId="15" applyFont="1" applyFill="1" applyBorder="1" applyAlignment="1">
      <alignment horizontal="right" wrapText="1"/>
    </xf>
    <xf numFmtId="166" fontId="9" fillId="0" borderId="13" xfId="15" applyNumberFormat="1" applyFont="1" applyFill="1" applyBorder="1" applyAlignment="1">
      <alignment horizontal="right" wrapText="1"/>
    </xf>
    <xf numFmtId="7" fontId="0" fillId="0" borderId="0" xfId="0" applyNumberFormat="1"/>
    <xf numFmtId="0" fontId="2" fillId="0" borderId="0" xfId="0" applyFont="1" applyBorder="1" applyAlignment="1" applyProtection="1">
      <alignment vertical="center"/>
    </xf>
    <xf numFmtId="0" fontId="2" fillId="0" borderId="0" xfId="0" applyFont="1" applyFill="1" applyBorder="1" applyProtection="1">
      <protection hidden="1"/>
    </xf>
    <xf numFmtId="0" fontId="2" fillId="0" borderId="0" xfId="0" applyFont="1" applyFill="1" applyBorder="1" applyAlignment="1" applyProtection="1">
      <alignment horizontal="center"/>
      <protection hidden="1"/>
    </xf>
    <xf numFmtId="0" fontId="2" fillId="0" borderId="0" xfId="0" applyFont="1" applyFill="1" applyBorder="1"/>
    <xf numFmtId="1" fontId="2" fillId="0" borderId="0" xfId="0" applyNumberFormat="1" applyFont="1" applyFill="1" applyBorder="1" applyProtection="1">
      <protection hidden="1"/>
    </xf>
    <xf numFmtId="1" fontId="2" fillId="0" borderId="0" xfId="2" applyNumberFormat="1" applyFont="1" applyFill="1" applyBorder="1" applyAlignment="1" applyProtection="1">
      <alignment horizontal="center"/>
    </xf>
    <xf numFmtId="165" fontId="2" fillId="0" borderId="0" xfId="0" applyNumberFormat="1" applyFont="1" applyFill="1" applyBorder="1" applyProtection="1">
      <protection hidden="1"/>
    </xf>
    <xf numFmtId="164" fontId="2" fillId="0" borderId="0" xfId="0" applyNumberFormat="1" applyFont="1" applyFill="1" applyBorder="1" applyProtection="1">
      <protection hidden="1"/>
    </xf>
    <xf numFmtId="0" fontId="0" fillId="0" borderId="0" xfId="0" applyFill="1" applyBorder="1" applyAlignment="1" applyProtection="1">
      <alignment horizontal="center"/>
    </xf>
    <xf numFmtId="8" fontId="0" fillId="0" borderId="6" xfId="0" applyNumberFormat="1" applyBorder="1" applyAlignment="1" applyProtection="1">
      <alignment horizontal="center" vertical="center"/>
    </xf>
    <xf numFmtId="8" fontId="0" fillId="0" borderId="10" xfId="0" applyNumberFormat="1" applyBorder="1" applyAlignment="1" applyProtection="1">
      <alignment horizontal="center" vertical="center"/>
    </xf>
    <xf numFmtId="8" fontId="0" fillId="0" borderId="11" xfId="0" applyNumberFormat="1" applyBorder="1" applyAlignment="1" applyProtection="1">
      <alignment horizontal="center" vertical="center"/>
    </xf>
    <xf numFmtId="1" fontId="3" fillId="3" borderId="10" xfId="2" applyNumberFormat="1" applyFont="1" applyFill="1" applyBorder="1" applyAlignment="1" applyProtection="1">
      <alignment horizontal="center" vertical="center"/>
    </xf>
    <xf numFmtId="1" fontId="3" fillId="3" borderId="4" xfId="2" applyNumberFormat="1" applyFont="1" applyFill="1" applyBorder="1" applyAlignment="1" applyProtection="1">
      <alignment horizontal="center" vertical="center"/>
    </xf>
    <xf numFmtId="1" fontId="3" fillId="3" borderId="10" xfId="0" quotePrefix="1" applyNumberFormat="1" applyFont="1" applyFill="1" applyBorder="1" applyAlignment="1" applyProtection="1">
      <alignment horizontal="center" vertical="center"/>
    </xf>
    <xf numFmtId="1" fontId="3" fillId="3" borderId="6" xfId="0" quotePrefix="1" applyNumberFormat="1" applyFont="1" applyFill="1" applyBorder="1" applyAlignment="1" applyProtection="1">
      <alignment horizontal="center" vertical="center"/>
    </xf>
    <xf numFmtId="1" fontId="3" fillId="3" borderId="11" xfId="0" quotePrefix="1" applyNumberFormat="1" applyFont="1" applyFill="1" applyBorder="1" applyAlignment="1" applyProtection="1">
      <alignment horizontal="center" vertical="center"/>
    </xf>
    <xf numFmtId="1" fontId="3" fillId="3" borderId="10" xfId="0" applyNumberFormat="1" applyFont="1" applyFill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/>
    </xf>
    <xf numFmtId="167" fontId="6" fillId="4" borderId="17" xfId="1" applyNumberFormat="1" applyFont="1" applyFill="1" applyBorder="1" applyAlignment="1" applyProtection="1">
      <alignment horizontal="center"/>
      <protection locked="0"/>
    </xf>
    <xf numFmtId="0" fontId="13" fillId="0" borderId="0" xfId="0" applyFont="1" applyBorder="1" applyProtection="1"/>
    <xf numFmtId="0" fontId="14" fillId="0" borderId="0" xfId="0" applyFont="1" applyProtection="1"/>
    <xf numFmtId="0" fontId="14" fillId="0" borderId="0" xfId="0" applyFont="1" applyAlignment="1" applyProtection="1">
      <alignment vertical="center" wrapText="1"/>
    </xf>
    <xf numFmtId="0" fontId="14" fillId="0" borderId="0" xfId="0" applyFont="1" applyBorder="1" applyProtection="1"/>
    <xf numFmtId="0" fontId="14" fillId="0" borderId="0" xfId="0" applyFont="1"/>
    <xf numFmtId="44" fontId="13" fillId="0" borderId="0" xfId="1" applyFont="1" applyBorder="1" applyProtection="1"/>
    <xf numFmtId="165" fontId="15" fillId="4" borderId="0" xfId="1" applyNumberFormat="1" applyFont="1" applyFill="1" applyBorder="1" applyAlignment="1" applyProtection="1">
      <alignment horizontal="center"/>
      <protection locked="0"/>
    </xf>
    <xf numFmtId="165" fontId="13" fillId="0" borderId="0" xfId="0" applyNumberFormat="1" applyFont="1" applyAlignment="1" applyProtection="1">
      <alignment horizontal="center"/>
    </xf>
    <xf numFmtId="1" fontId="15" fillId="4" borderId="0" xfId="1" applyNumberFormat="1" applyFont="1" applyFill="1" applyBorder="1" applyAlignment="1" applyProtection="1">
      <alignment horizontal="center"/>
      <protection locked="0"/>
    </xf>
    <xf numFmtId="1" fontId="13" fillId="0" borderId="0" xfId="0" applyNumberFormat="1" applyFont="1" applyAlignment="1" applyProtection="1">
      <alignment horizontal="center"/>
    </xf>
    <xf numFmtId="0" fontId="3" fillId="0" borderId="12" xfId="0" applyFont="1" applyBorder="1" applyAlignment="1" applyProtection="1">
      <alignment vertical="center" textRotation="90"/>
    </xf>
    <xf numFmtId="0" fontId="3" fillId="0" borderId="3" xfId="0" applyFont="1" applyBorder="1" applyAlignment="1" applyProtection="1">
      <alignment horizont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/>
    </xf>
    <xf numFmtId="0" fontId="11" fillId="0" borderId="8" xfId="0" applyFont="1" applyBorder="1" applyAlignment="1" applyProtection="1">
      <alignment horizontal="center"/>
    </xf>
    <xf numFmtId="0" fontId="11" fillId="0" borderId="5" xfId="0" applyFont="1" applyBorder="1" applyAlignment="1" applyProtection="1">
      <alignment horizontal="center"/>
    </xf>
    <xf numFmtId="0" fontId="11" fillId="0" borderId="9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center"/>
    </xf>
    <xf numFmtId="0" fontId="11" fillId="0" borderId="7" xfId="0" applyFont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 wrapText="1"/>
    </xf>
    <xf numFmtId="0" fontId="14" fillId="0" borderId="0" xfId="0" applyFont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/>
      <protection hidden="1"/>
    </xf>
    <xf numFmtId="0" fontId="9" fillId="5" borderId="14" xfId="15" applyFont="1" applyFill="1" applyBorder="1" applyAlignment="1">
      <alignment horizontal="center" wrapText="1"/>
    </xf>
    <xf numFmtId="0" fontId="9" fillId="5" borderId="15" xfId="15" applyFont="1" applyFill="1" applyBorder="1" applyAlignment="1">
      <alignment horizontal="center" wrapText="1"/>
    </xf>
    <xf numFmtId="0" fontId="9" fillId="5" borderId="0" xfId="15" applyFont="1" applyFill="1" applyBorder="1" applyAlignment="1">
      <alignment horizontal="center" wrapText="1"/>
    </xf>
  </cellXfs>
  <cellStyles count="16">
    <cellStyle name="Currency" xfId="1" builtinId="4"/>
    <cellStyle name="Currency 2" xfId="7" xr:uid="{00000000-0005-0000-0000-000001000000}"/>
    <cellStyle name="Currency 3" xfId="5" xr:uid="{00000000-0005-0000-0000-000002000000}"/>
    <cellStyle name="Currency 3 2" xfId="8" xr:uid="{00000000-0005-0000-0000-000003000000}"/>
    <cellStyle name="Currency 3 2 2" xfId="9" xr:uid="{00000000-0005-0000-0000-000004000000}"/>
    <cellStyle name="Normal" xfId="0" builtinId="0"/>
    <cellStyle name="Normal 2" xfId="3" xr:uid="{00000000-0005-0000-0000-000006000000}"/>
    <cellStyle name="Normal 3" xfId="4" xr:uid="{00000000-0005-0000-0000-000007000000}"/>
    <cellStyle name="Normal 3 2" xfId="10" xr:uid="{00000000-0005-0000-0000-000008000000}"/>
    <cellStyle name="Normal 3 3" xfId="11" xr:uid="{00000000-0005-0000-0000-000009000000}"/>
    <cellStyle name="Normal 3_2013 Universal Input Prices" xfId="12" xr:uid="{00000000-0005-0000-0000-00000A000000}"/>
    <cellStyle name="Normal_Sheet1" xfId="15" xr:uid="{00000000-0005-0000-0000-00000B000000}"/>
    <cellStyle name="Percent" xfId="2" builtinId="5"/>
    <cellStyle name="Percent 2" xfId="6" xr:uid="{00000000-0005-0000-0000-00000D000000}"/>
    <cellStyle name="Percent 2 2" xfId="13" xr:uid="{00000000-0005-0000-0000-00000E000000}"/>
    <cellStyle name="Percent 2 2 2" xfId="14" xr:uid="{00000000-0005-0000-0000-00000F000000}"/>
  </cellStyles>
  <dxfs count="2">
    <dxf>
      <font>
        <color auto="1"/>
      </font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9" defaultPivotStyle="PivotStyleLight16"/>
  <colors>
    <mruColors>
      <color rgb="FF500000"/>
      <color rgb="FF081DB8"/>
      <color rgb="FF3607B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17873</xdr:colOff>
      <xdr:row>1</xdr:row>
      <xdr:rowOff>37856</xdr:rowOff>
    </xdr:from>
    <xdr:to>
      <xdr:col>12</xdr:col>
      <xdr:colOff>123596</xdr:colOff>
      <xdr:row>8</xdr:row>
      <xdr:rowOff>102053</xdr:rowOff>
    </xdr:to>
    <xdr:pic>
      <xdr:nvPicPr>
        <xdr:cNvPr id="4" name="Picture 3" descr="https://www.lsuagcenter.com/NR/rdonlyres/7F4780C0-B87D-40B1-A325-58EFA73FE4DC/89038/LSUAC4C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409" y="65070"/>
          <a:ext cx="2078758" cy="12071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29765</xdr:colOff>
      <xdr:row>1</xdr:row>
      <xdr:rowOff>0</xdr:rowOff>
    </xdr:from>
    <xdr:to>
      <xdr:col>5</xdr:col>
      <xdr:colOff>71149</xdr:colOff>
      <xdr:row>7</xdr:row>
      <xdr:rowOff>107156</xdr:rowOff>
    </xdr:to>
    <xdr:pic>
      <xdr:nvPicPr>
        <xdr:cNvPr id="7" name="Picture 6" descr="http://agrilifecdn.tamu.edu/communications/files/2012/08/TAMAgVCmg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057" b="31779"/>
        <a:stretch/>
      </xdr:blipFill>
      <xdr:spPr bwMode="auto">
        <a:xfrm>
          <a:off x="29765" y="29766"/>
          <a:ext cx="2988181" cy="1071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107161</xdr:colOff>
      <xdr:row>25</xdr:row>
      <xdr:rowOff>170087</xdr:rowOff>
    </xdr:from>
    <xdr:to>
      <xdr:col>3</xdr:col>
      <xdr:colOff>605524</xdr:colOff>
      <xdr:row>27</xdr:row>
      <xdr:rowOff>297089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219" y="3730972"/>
          <a:ext cx="498363" cy="6618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ill.Thompson\Desktop\2013%20D7%20Budge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Home"/>
      <sheetName val="Instructions"/>
      <sheetName val="2013 Universal Input Prices"/>
      <sheetName val="Commercial Hair Sheep"/>
      <sheetName val="CommercialHairSheepCalc"/>
      <sheetName val="Meatgoats"/>
      <sheetName val="MeatGoatsCalc"/>
      <sheetName val="Commercial Sheep"/>
      <sheetName val="CommercialSheepCalc"/>
      <sheetName val="CowCalfNative"/>
      <sheetName val="CowCalfNativeCalc"/>
      <sheetName val="ConTillWheat"/>
      <sheetName val="ConTillWheatDryCalc"/>
      <sheetName val="Dryland Sesame"/>
      <sheetName val="SesameDryCalc"/>
      <sheetName val="Dryland Safflower"/>
      <sheetName val="SafflowerDryCalc"/>
      <sheetName val="Dryland Sorghum"/>
      <sheetName val="SorgDryCalc"/>
      <sheetName val="Irrigated Cotton"/>
      <sheetName val="CottonIrrCalc"/>
      <sheetName val="Dryland Cotton"/>
      <sheetName val="CottonDryCalc"/>
      <sheetName val="Coastal Est. Dryland"/>
      <sheetName val="CoastEstDryCalc"/>
      <sheetName val="Coastal Hay Dryland"/>
      <sheetName val="CoastHayCalc"/>
      <sheetName val="Dryland Oats"/>
      <sheetName val="DrylandOatsCalc"/>
      <sheetName val="WnWheatDryCalc"/>
      <sheetName val="Dryland Winter Wheat"/>
      <sheetName val="Generic Livestock Budget"/>
      <sheetName val="Generic Crop Budget"/>
      <sheetName val="Coastal Pasture Irrigated"/>
      <sheetName val="CoastPastIrrCalc"/>
      <sheetName val="Coastal Hay Irrigated"/>
      <sheetName val="CoastHayIrrCalc"/>
      <sheetName val="Coastal Est. Irrigated"/>
      <sheetName val="CoastEstIrrCalc"/>
      <sheetName val="Irrigated Corn"/>
      <sheetName val="CornIrrCalc"/>
      <sheetName val="Dryland Peanuts"/>
      <sheetName val="PeanutDryCalc"/>
      <sheetName val="Irrigated Peanuts"/>
      <sheetName val="PeanutIrrCalc"/>
      <sheetName val="Irrigated Sesame"/>
      <sheetName val="SesameIrrCalc"/>
      <sheetName val="Irrigated Sorghum"/>
      <sheetName val="SorgIrrCalc"/>
      <sheetName val="Irrigated Winter Wheat"/>
      <sheetName val="WnWheatIrrCalc"/>
      <sheetName val="Cantaloupes"/>
      <sheetName val="CantaloupesCalc"/>
      <sheetName val="Pecans"/>
      <sheetName val="PecanCalc"/>
      <sheetName val="StockersNative"/>
      <sheetName val="StockersNativeCalc"/>
      <sheetName val="Stockers Gross Margin"/>
      <sheetName val="StockersMar1"/>
      <sheetName val="StockersMar1Calc"/>
      <sheetName val="StockersJune1"/>
      <sheetName val="StockersJune1Calc"/>
      <sheetName val="Comparative Returns"/>
    </sheetNames>
    <sheetDataSet>
      <sheetData sheetId="0"/>
      <sheetData sheetId="1"/>
      <sheetData sheetId="2"/>
      <sheetData sheetId="3">
        <row r="1">
          <cell r="A1" t="str">
            <v xml:space="preserve"> West Central Extension District - 7 </v>
          </cell>
        </row>
        <row r="3">
          <cell r="A3">
            <v>0</v>
          </cell>
        </row>
        <row r="5">
          <cell r="B5">
            <v>2013</v>
          </cell>
        </row>
        <row r="20">
          <cell r="B20">
            <v>7.6</v>
          </cell>
        </row>
        <row r="23">
          <cell r="B23">
            <v>7.5</v>
          </cell>
        </row>
        <row r="26">
          <cell r="B26">
            <v>0.18</v>
          </cell>
        </row>
        <row r="30">
          <cell r="B30">
            <v>1.9</v>
          </cell>
        </row>
        <row r="38">
          <cell r="B38">
            <v>3.3</v>
          </cell>
        </row>
        <row r="39">
          <cell r="B39">
            <v>3.2</v>
          </cell>
        </row>
        <row r="41">
          <cell r="B41">
            <v>3.7499999999999999E-2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39"/>
  <sheetViews>
    <sheetView showGridLines="0" showRowColHeaders="0" tabSelected="1" zoomScaleNormal="100" workbookViewId="0">
      <selection activeCell="R33" sqref="R33"/>
    </sheetView>
  </sheetViews>
  <sheetFormatPr defaultColWidth="9.140625" defaultRowHeight="12.75" x14ac:dyDescent="0.2"/>
  <cols>
    <col min="1" max="1" width="2.28515625" style="4" customWidth="1"/>
    <col min="2" max="2" width="12.42578125" style="4" customWidth="1"/>
    <col min="3" max="3" width="7.140625" style="4" customWidth="1"/>
    <col min="4" max="6" width="11.140625" style="4" customWidth="1"/>
    <col min="7" max="7" width="12.140625" style="4" customWidth="1"/>
    <col min="8" max="10" width="11.140625" style="4" customWidth="1"/>
    <col min="11" max="11" width="11" style="4" customWidth="1"/>
    <col min="12" max="12" width="7.42578125" style="4" customWidth="1"/>
    <col min="13" max="13" width="5.7109375" style="4" customWidth="1"/>
    <col min="14" max="14" width="2.28515625" style="4" customWidth="1"/>
    <col min="15" max="16" width="9.140625" style="4"/>
    <col min="17" max="17" width="9.5703125" style="4" bestFit="1" customWidth="1"/>
    <col min="18" max="16384" width="9.140625" style="4"/>
  </cols>
  <sheetData>
    <row r="1" spans="2:17" ht="2.25" customHeight="1" x14ac:dyDescent="0.2"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2:17" ht="12.75" customHeight="1" x14ac:dyDescent="0.2">
      <c r="B2" s="8"/>
      <c r="C2" s="8"/>
      <c r="D2" s="8"/>
      <c r="E2" s="8"/>
      <c r="F2" s="65" t="s">
        <v>20</v>
      </c>
      <c r="G2" s="65"/>
      <c r="H2" s="65"/>
      <c r="I2" s="65"/>
      <c r="J2" s="8"/>
      <c r="K2" s="8"/>
      <c r="L2" s="8"/>
      <c r="M2" s="8"/>
      <c r="N2" s="8"/>
    </row>
    <row r="3" spans="2:17" x14ac:dyDescent="0.2">
      <c r="B3" s="8"/>
      <c r="C3" s="8"/>
      <c r="D3" s="8"/>
      <c r="E3" s="8"/>
      <c r="F3" s="65"/>
      <c r="G3" s="65"/>
      <c r="H3" s="65"/>
      <c r="I3" s="65"/>
      <c r="J3" s="8"/>
      <c r="K3" s="8"/>
      <c r="L3" s="8"/>
      <c r="M3" s="8"/>
      <c r="N3" s="8"/>
    </row>
    <row r="4" spans="2:17" ht="12.75" customHeight="1" x14ac:dyDescent="0.2">
      <c r="B4" s="8"/>
      <c r="C4" s="8"/>
      <c r="D4" s="8"/>
      <c r="E4" s="8"/>
      <c r="F4" s="65"/>
      <c r="G4" s="65"/>
      <c r="H4" s="65"/>
      <c r="I4" s="65"/>
      <c r="J4" s="8"/>
      <c r="K4" s="33"/>
      <c r="L4" s="33"/>
      <c r="M4" s="33"/>
      <c r="N4" s="33"/>
    </row>
    <row r="5" spans="2:17" x14ac:dyDescent="0.2">
      <c r="B5" s="8"/>
      <c r="C5" s="8"/>
      <c r="D5" s="8"/>
      <c r="E5" s="8"/>
      <c r="F5" s="65"/>
      <c r="G5" s="65"/>
      <c r="H5" s="65"/>
      <c r="I5" s="65"/>
      <c r="J5" s="8"/>
      <c r="K5" s="33"/>
      <c r="L5" s="33"/>
      <c r="M5" s="33"/>
      <c r="N5" s="33"/>
    </row>
    <row r="6" spans="2:17" x14ac:dyDescent="0.2">
      <c r="B6" s="8"/>
      <c r="C6" s="8"/>
      <c r="D6" s="8"/>
      <c r="E6" s="8"/>
      <c r="F6" s="65"/>
      <c r="G6" s="65"/>
      <c r="H6" s="65"/>
      <c r="I6" s="65"/>
      <c r="J6" s="8"/>
      <c r="K6" s="33"/>
      <c r="L6" s="33"/>
      <c r="M6" s="33"/>
      <c r="N6" s="33"/>
    </row>
    <row r="7" spans="2:17" x14ac:dyDescent="0.2">
      <c r="B7" s="8"/>
      <c r="C7" s="8"/>
      <c r="D7" s="8"/>
      <c r="E7" s="8"/>
      <c r="F7" s="65"/>
      <c r="G7" s="65"/>
      <c r="H7" s="65"/>
      <c r="I7" s="65"/>
      <c r="J7" s="8"/>
      <c r="K7" s="33"/>
      <c r="L7" s="33"/>
      <c r="M7" s="33"/>
      <c r="N7" s="33"/>
    </row>
    <row r="8" spans="2:17" x14ac:dyDescent="0.2">
      <c r="B8" s="8"/>
      <c r="C8" s="8"/>
      <c r="D8" s="8"/>
      <c r="E8" s="8"/>
      <c r="F8" s="65"/>
      <c r="G8" s="65"/>
      <c r="H8" s="65"/>
      <c r="I8" s="65"/>
      <c r="J8" s="8"/>
      <c r="K8" s="33"/>
      <c r="L8" s="33"/>
      <c r="M8" s="33"/>
      <c r="N8" s="33"/>
    </row>
    <row r="9" spans="2:17" x14ac:dyDescent="0.2">
      <c r="B9" s="8"/>
      <c r="C9" s="8"/>
      <c r="D9" s="8"/>
      <c r="E9" s="8"/>
      <c r="F9" s="8"/>
      <c r="G9" s="8"/>
      <c r="H9" s="8"/>
      <c r="I9" s="8"/>
      <c r="J9" s="8"/>
      <c r="K9" s="33"/>
      <c r="L9" s="33"/>
      <c r="M9" s="33"/>
      <c r="N9" s="33"/>
    </row>
    <row r="10" spans="2:17" ht="15.75" x14ac:dyDescent="0.25">
      <c r="B10" s="1" t="s">
        <v>28</v>
      </c>
      <c r="C10" s="5"/>
      <c r="D10" s="5"/>
      <c r="E10" s="5"/>
      <c r="F10" s="5"/>
      <c r="G10" s="5"/>
      <c r="H10" s="3">
        <v>9</v>
      </c>
      <c r="I10" s="53" t="s">
        <v>31</v>
      </c>
      <c r="J10" s="54"/>
      <c r="K10" s="54"/>
      <c r="L10" s="54"/>
      <c r="M10" s="54"/>
      <c r="N10" s="54"/>
      <c r="O10" s="54" t="s">
        <v>35</v>
      </c>
      <c r="P10" s="54"/>
      <c r="Q10" s="54"/>
    </row>
    <row r="11" spans="2:17" ht="3.75" customHeight="1" x14ac:dyDescent="0.25">
      <c r="B11" s="6"/>
      <c r="C11" s="6"/>
      <c r="D11" s="6"/>
      <c r="E11" s="6"/>
      <c r="F11" s="6"/>
      <c r="G11" s="6"/>
      <c r="H11" s="26"/>
      <c r="I11" s="54"/>
      <c r="J11" s="54"/>
      <c r="K11" s="54"/>
      <c r="L11" s="54"/>
      <c r="M11" s="54"/>
      <c r="N11" s="54"/>
      <c r="O11" s="54"/>
      <c r="P11" s="54"/>
      <c r="Q11" s="54"/>
    </row>
    <row r="12" spans="2:17" ht="15.75" x14ac:dyDescent="0.25">
      <c r="B12" s="6" t="s">
        <v>19</v>
      </c>
      <c r="C12" s="6"/>
      <c r="D12" s="6"/>
      <c r="E12" s="6"/>
      <c r="F12" s="6"/>
      <c r="G12" s="6"/>
      <c r="H12" s="3">
        <v>6</v>
      </c>
      <c r="I12" s="58">
        <f>IF(H12&gt;0,(H10+H12),H10+2)</f>
        <v>15</v>
      </c>
      <c r="J12" s="53" t="s">
        <v>6</v>
      </c>
      <c r="K12" s="54"/>
      <c r="L12" s="54"/>
      <c r="M12" s="54"/>
      <c r="N12" s="54"/>
      <c r="O12" s="54" t="s">
        <v>36</v>
      </c>
      <c r="P12" s="54"/>
      <c r="Q12" s="59">
        <v>6.75</v>
      </c>
    </row>
    <row r="13" spans="2:17" ht="4.1500000000000004" customHeight="1" x14ac:dyDescent="0.25">
      <c r="B13" s="6"/>
      <c r="C13" s="6"/>
      <c r="D13" s="6"/>
      <c r="E13" s="6"/>
      <c r="F13" s="6"/>
      <c r="G13" s="6"/>
      <c r="H13" s="26"/>
      <c r="I13" s="58"/>
      <c r="J13" s="53"/>
      <c r="K13" s="54"/>
      <c r="L13" s="54"/>
      <c r="M13" s="54"/>
      <c r="N13" s="54"/>
      <c r="O13" s="54"/>
      <c r="P13" s="54"/>
      <c r="Q13" s="54"/>
    </row>
    <row r="14" spans="2:17" ht="15.6" customHeight="1" x14ac:dyDescent="0.25">
      <c r="B14" s="2" t="s">
        <v>22</v>
      </c>
      <c r="C14" s="6"/>
      <c r="D14" s="6"/>
      <c r="E14" s="6"/>
      <c r="F14" s="6"/>
      <c r="G14" s="6"/>
      <c r="H14" s="3">
        <v>3.75</v>
      </c>
      <c r="I14" s="73" t="s">
        <v>18</v>
      </c>
      <c r="J14" s="73"/>
      <c r="K14" s="73"/>
      <c r="L14" s="73"/>
      <c r="M14" s="55"/>
      <c r="N14" s="54"/>
      <c r="O14" s="54" t="s">
        <v>37</v>
      </c>
      <c r="P14" s="54"/>
      <c r="Q14" s="60">
        <f>Q12*0.56</f>
        <v>3.7800000000000002</v>
      </c>
    </row>
    <row r="15" spans="2:17" ht="4.5" customHeight="1" x14ac:dyDescent="0.2">
      <c r="B15" s="8"/>
      <c r="C15" s="8"/>
      <c r="D15" s="8"/>
      <c r="E15" s="8"/>
      <c r="F15" s="8"/>
      <c r="G15" s="8"/>
      <c r="H15" s="8"/>
      <c r="I15" s="73"/>
      <c r="J15" s="73"/>
      <c r="K15" s="73"/>
      <c r="L15" s="73"/>
      <c r="M15" s="55"/>
      <c r="N15" s="54"/>
      <c r="O15" s="54"/>
      <c r="P15" s="54"/>
      <c r="Q15" s="54"/>
    </row>
    <row r="16" spans="2:17" ht="15.6" customHeight="1" x14ac:dyDescent="0.25">
      <c r="B16" s="2" t="s">
        <v>23</v>
      </c>
      <c r="C16" s="6"/>
      <c r="D16" s="6"/>
      <c r="E16" s="6"/>
      <c r="F16" s="6"/>
      <c r="G16" s="6"/>
      <c r="H16" s="3">
        <v>0.28000000000000003</v>
      </c>
      <c r="I16" s="73"/>
      <c r="J16" s="73"/>
      <c r="K16" s="73"/>
      <c r="L16" s="73"/>
      <c r="M16" s="55"/>
      <c r="N16" s="56"/>
      <c r="O16" s="54" t="s">
        <v>34</v>
      </c>
      <c r="P16" s="54"/>
      <c r="Q16" s="61">
        <v>3950</v>
      </c>
    </row>
    <row r="17" spans="2:17" ht="4.5" customHeight="1" x14ac:dyDescent="0.2">
      <c r="B17" s="8"/>
      <c r="C17" s="8"/>
      <c r="D17" s="8"/>
      <c r="E17" s="8"/>
      <c r="F17" s="8"/>
      <c r="G17" s="8"/>
      <c r="H17" s="8"/>
      <c r="I17" s="56"/>
      <c r="J17" s="55"/>
      <c r="K17" s="55"/>
      <c r="L17" s="55"/>
      <c r="M17" s="55"/>
      <c r="N17" s="56"/>
      <c r="O17" s="54"/>
      <c r="P17" s="54"/>
      <c r="Q17" s="54"/>
    </row>
    <row r="18" spans="2:17" ht="15.75" customHeight="1" x14ac:dyDescent="0.25">
      <c r="B18" s="2" t="s">
        <v>24</v>
      </c>
      <c r="C18" s="6"/>
      <c r="D18" s="6"/>
      <c r="E18" s="6"/>
      <c r="F18" s="6"/>
      <c r="G18" s="6"/>
      <c r="H18" s="3">
        <v>0.2</v>
      </c>
      <c r="I18" s="72" t="s">
        <v>32</v>
      </c>
      <c r="J18" s="72"/>
      <c r="K18" s="72"/>
      <c r="L18" s="72"/>
      <c r="M18" s="72"/>
      <c r="N18" s="54"/>
      <c r="O18" s="54" t="s">
        <v>33</v>
      </c>
      <c r="P18" s="54"/>
      <c r="Q18" s="62">
        <f>Q16/56</f>
        <v>70.535714285714292</v>
      </c>
    </row>
    <row r="19" spans="2:17" ht="4.5" customHeight="1" thickBot="1" x14ac:dyDescent="0.25">
      <c r="B19" s="8"/>
      <c r="C19" s="8"/>
      <c r="D19" s="8"/>
      <c r="E19" s="8"/>
      <c r="F19" s="8"/>
      <c r="G19" s="8"/>
      <c r="H19" s="8"/>
      <c r="I19" s="72"/>
      <c r="J19" s="72"/>
      <c r="K19" s="72"/>
      <c r="L19" s="72"/>
      <c r="M19" s="72"/>
      <c r="N19" s="54"/>
      <c r="O19" s="54"/>
      <c r="P19" s="54"/>
      <c r="Q19" s="54"/>
    </row>
    <row r="20" spans="2:17" ht="15.75" customHeight="1" thickTop="1" thickBot="1" x14ac:dyDescent="0.3">
      <c r="B20" s="9" t="s">
        <v>25</v>
      </c>
      <c r="C20" s="8"/>
      <c r="D20" s="8"/>
      <c r="E20" s="8"/>
      <c r="G20" s="8"/>
      <c r="H20" s="52">
        <v>3.3250000000000002</v>
      </c>
      <c r="I20" s="72"/>
      <c r="J20" s="72"/>
      <c r="K20" s="72"/>
      <c r="L20" s="72"/>
      <c r="M20" s="72"/>
      <c r="N20" s="54"/>
      <c r="O20" s="54"/>
      <c r="P20" s="54"/>
      <c r="Q20" s="54"/>
    </row>
    <row r="21" spans="2:17" ht="3.75" customHeight="1" thickTop="1" x14ac:dyDescent="0.2">
      <c r="B21" s="8"/>
      <c r="C21" s="8"/>
      <c r="D21" s="8"/>
      <c r="E21" s="8"/>
      <c r="H21" s="51"/>
      <c r="I21" s="72"/>
      <c r="J21" s="72"/>
      <c r="K21" s="72"/>
      <c r="L21" s="72"/>
      <c r="M21" s="72"/>
      <c r="N21" s="54"/>
      <c r="O21" s="54"/>
      <c r="P21" s="54"/>
      <c r="Q21" s="54"/>
    </row>
    <row r="22" spans="2:17" ht="15.75" x14ac:dyDescent="0.25">
      <c r="B22" s="6" t="s">
        <v>26</v>
      </c>
      <c r="C22" s="8"/>
      <c r="D22" s="8"/>
      <c r="E22" s="8"/>
      <c r="H22" s="25">
        <v>70</v>
      </c>
      <c r="I22" s="72"/>
      <c r="J22" s="72"/>
      <c r="K22" s="72"/>
      <c r="L22" s="72"/>
      <c r="M22" s="72"/>
      <c r="N22" s="54"/>
      <c r="O22" s="57"/>
      <c r="P22" s="54"/>
      <c r="Q22" s="54"/>
    </row>
    <row r="23" spans="2:17" ht="4.5" customHeight="1" x14ac:dyDescent="0.2">
      <c r="B23" s="8"/>
      <c r="C23" s="8"/>
      <c r="D23" s="8"/>
      <c r="E23" s="8"/>
      <c r="F23" s="8"/>
      <c r="G23" s="8"/>
      <c r="H23" s="8"/>
      <c r="I23" s="56"/>
      <c r="J23" s="56"/>
      <c r="K23" s="56"/>
      <c r="L23" s="56"/>
      <c r="M23" s="54"/>
      <c r="N23" s="54"/>
      <c r="O23" s="54"/>
      <c r="P23" s="54"/>
      <c r="Q23" s="54"/>
    </row>
    <row r="24" spans="2:17" ht="13.5" thickBot="1" x14ac:dyDescent="0.25">
      <c r="B24" s="8"/>
      <c r="C24" s="8"/>
      <c r="D24" s="8"/>
      <c r="E24" s="8"/>
      <c r="F24" s="8"/>
      <c r="G24" s="10"/>
      <c r="H24" s="11"/>
      <c r="I24" s="11"/>
      <c r="J24" s="11"/>
      <c r="K24" s="8"/>
      <c r="L24" s="12"/>
      <c r="M24" s="8"/>
      <c r="N24" s="8"/>
    </row>
    <row r="25" spans="2:17" ht="20.25" customHeight="1" x14ac:dyDescent="0.3">
      <c r="B25" s="13"/>
      <c r="C25" s="66" t="s">
        <v>29</v>
      </c>
      <c r="D25" s="67"/>
      <c r="E25" s="67"/>
      <c r="F25" s="67"/>
      <c r="G25" s="67"/>
      <c r="H25" s="67"/>
      <c r="I25" s="67"/>
      <c r="J25" s="67"/>
      <c r="K25" s="67"/>
      <c r="L25" s="68"/>
      <c r="M25" s="14"/>
      <c r="N25" s="8"/>
    </row>
    <row r="26" spans="2:17" ht="18" customHeight="1" x14ac:dyDescent="0.3">
      <c r="B26" s="13"/>
      <c r="C26" s="69" t="s">
        <v>30</v>
      </c>
      <c r="D26" s="70"/>
      <c r="E26" s="70"/>
      <c r="F26" s="70"/>
      <c r="G26" s="70"/>
      <c r="H26" s="70"/>
      <c r="I26" s="70"/>
      <c r="J26" s="70"/>
      <c r="K26" s="70"/>
      <c r="L26" s="71"/>
      <c r="M26" s="14"/>
      <c r="N26" s="8"/>
    </row>
    <row r="27" spans="2:17" ht="24" customHeight="1" thickBot="1" x14ac:dyDescent="0.3">
      <c r="B27" s="8"/>
      <c r="C27" s="15"/>
      <c r="D27" s="14"/>
      <c r="E27" s="64" t="s">
        <v>27</v>
      </c>
      <c r="F27" s="64"/>
      <c r="G27" s="64"/>
      <c r="H27" s="64"/>
      <c r="I27" s="64"/>
      <c r="J27" s="64"/>
      <c r="K27" s="64"/>
      <c r="L27" s="13"/>
      <c r="M27" s="8"/>
    </row>
    <row r="28" spans="2:17" ht="24" customHeight="1" thickBot="1" x14ac:dyDescent="0.25">
      <c r="B28" s="8"/>
      <c r="C28" s="15"/>
      <c r="D28" s="41"/>
      <c r="E28" s="47">
        <f>H28-15</f>
        <v>55</v>
      </c>
      <c r="F28" s="48">
        <f>H28-10</f>
        <v>60</v>
      </c>
      <c r="G28" s="48">
        <f>H28-5</f>
        <v>65</v>
      </c>
      <c r="H28" s="49">
        <f>H22</f>
        <v>70</v>
      </c>
      <c r="I28" s="50">
        <f>H28+5</f>
        <v>75</v>
      </c>
      <c r="J28" s="50">
        <f>H28+10</f>
        <v>80</v>
      </c>
      <c r="K28" s="50">
        <f>H28+15</f>
        <v>85</v>
      </c>
      <c r="L28" s="13"/>
      <c r="M28" s="8"/>
    </row>
    <row r="29" spans="2:17" ht="24" customHeight="1" thickBot="1" x14ac:dyDescent="0.25">
      <c r="B29" s="8"/>
      <c r="C29" s="63" t="s">
        <v>21</v>
      </c>
      <c r="D29" s="45">
        <v>25</v>
      </c>
      <c r="E29" s="42" t="str">
        <f>IF((Analysis!C6-Analysis!C16)-(Analysis!L6-Analysis!L16)&gt;0,"Treat","Don't Treat")</f>
        <v>Don't Treat</v>
      </c>
      <c r="F29" s="42" t="str">
        <f>IF((Analysis!D6-Analysis!D16)-(Analysis!M6-Analysis!M16)&gt;0,"Treat","Don't Treat")</f>
        <v>Don't Treat</v>
      </c>
      <c r="G29" s="42" t="str">
        <f>IF((Analysis!E6-Analysis!E16)-(Analysis!N6-Analysis!N16)&gt;0,"Treat","Don't Treat")</f>
        <v>Don't Treat</v>
      </c>
      <c r="H29" s="42" t="str">
        <f>IF((Analysis!F6-Analysis!F16)-(Analysis!O6-Analysis!O16)&gt;0,"Treat","Don't Treat")</f>
        <v>Don't Treat</v>
      </c>
      <c r="I29" s="42" t="str">
        <f>IF((Analysis!G6-Analysis!G16)-(Analysis!P6-Analysis!P16)&gt;0,"Treat","Don't Treat")</f>
        <v>Don't Treat</v>
      </c>
      <c r="J29" s="42" t="str">
        <f>IF((Analysis!H6-Analysis!H16)-(Analysis!Q6-Analysis!Q16)&gt;0,"Treat","Don't Treat")</f>
        <v>Don't Treat</v>
      </c>
      <c r="K29" s="42" t="str">
        <f>IF((Analysis!I6-Analysis!I16)-(Analysis!R6-Analysis!R16)&gt;0,"Treat","Don't Treat")</f>
        <v>Don't Treat</v>
      </c>
      <c r="L29" s="16"/>
      <c r="M29" s="15"/>
    </row>
    <row r="30" spans="2:17" ht="24" customHeight="1" thickBot="1" x14ac:dyDescent="0.25">
      <c r="B30" s="8"/>
      <c r="C30" s="63"/>
      <c r="D30" s="46">
        <v>50</v>
      </c>
      <c r="E30" s="42" t="str">
        <f>IF((Analysis!C7-Analysis!C17)-(Analysis!L7-Analysis!L17)&gt;0,"Treat","Don't Treat")</f>
        <v>Don't Treat</v>
      </c>
      <c r="F30" s="42" t="str">
        <f>IF((Analysis!D7-Analysis!D17)-(Analysis!M7-Analysis!M17)&gt;0,"Treat","Don't Treat")</f>
        <v>Don't Treat</v>
      </c>
      <c r="G30" s="42" t="str">
        <f>IF((Analysis!E7-Analysis!E17)-(Analysis!N7-Analysis!N17)&gt;0,"Treat","Don't Treat")</f>
        <v>Don't Treat</v>
      </c>
      <c r="H30" s="42" t="str">
        <f>IF((Analysis!F7-Analysis!F17)-(Analysis!O7-Analysis!O17)&gt;0,"Treat","Don't Treat")</f>
        <v>Don't Treat</v>
      </c>
      <c r="I30" s="42" t="str">
        <f>IF((Analysis!G7-Analysis!G17)-(Analysis!P7-Analysis!P17)&gt;0,"Treat","Don't Treat")</f>
        <v>Don't Treat</v>
      </c>
      <c r="J30" s="42" t="str">
        <f>IF((Analysis!H7-Analysis!H17)-(Analysis!Q7-Analysis!Q17)&gt;0,"Treat","Don't Treat")</f>
        <v>Don't Treat</v>
      </c>
      <c r="K30" s="42" t="str">
        <f>IF((Analysis!I7-Analysis!I17)-(Analysis!R7-Analysis!R17)&gt;0,"Treat","Don't Treat")</f>
        <v>Don't Treat</v>
      </c>
      <c r="L30" s="16"/>
      <c r="M30" s="15"/>
    </row>
    <row r="31" spans="2:17" ht="24" customHeight="1" thickBot="1" x14ac:dyDescent="0.25">
      <c r="B31" s="8"/>
      <c r="C31" s="63"/>
      <c r="D31" s="45">
        <v>75</v>
      </c>
      <c r="E31" s="42" t="str">
        <f>IF((Analysis!C8-Analysis!C18)-(Analysis!L8-Analysis!L18)&gt;0,"Treat","Don't Treat")</f>
        <v>Don't Treat</v>
      </c>
      <c r="F31" s="42" t="str">
        <f>IF((Analysis!D8-Analysis!D18)-(Analysis!M8-Analysis!M18)&gt;0,"Treat","Don't Treat")</f>
        <v>Don't Treat</v>
      </c>
      <c r="G31" s="42" t="str">
        <f>IF((Analysis!E8-Analysis!E18)-(Analysis!N8-Analysis!N18)&gt;0,"Treat","Don't Treat")</f>
        <v>Don't Treat</v>
      </c>
      <c r="H31" s="42" t="str">
        <f>IF((Analysis!F8-Analysis!F18)-(Analysis!O8-Analysis!O18)&gt;0,"Treat","Don't Treat")</f>
        <v>Don't Treat</v>
      </c>
      <c r="I31" s="42" t="str">
        <f>IF((Analysis!G8-Analysis!G18)-(Analysis!P8-Analysis!P18)&gt;0,"Treat","Don't Treat")</f>
        <v>Don't Treat</v>
      </c>
      <c r="J31" s="42" t="str">
        <f>IF((Analysis!H8-Analysis!H18)-(Analysis!Q8-Analysis!Q18)&gt;0,"Treat","Don't Treat")</f>
        <v>Don't Treat</v>
      </c>
      <c r="K31" s="42" t="str">
        <f>IF((Analysis!I8-Analysis!I18)-(Analysis!R8-Analysis!R18)&gt;0,"Treat","Don't Treat")</f>
        <v>Treat</v>
      </c>
      <c r="L31" s="16"/>
      <c r="M31" s="15"/>
    </row>
    <row r="32" spans="2:17" ht="24" customHeight="1" thickBot="1" x14ac:dyDescent="0.25">
      <c r="B32" s="8"/>
      <c r="C32" s="63"/>
      <c r="D32" s="46">
        <v>100</v>
      </c>
      <c r="E32" s="42" t="str">
        <f>IF((Analysis!C9-Analysis!C19)-(Analysis!L9-Analysis!L19)&gt;0,"Treat","Don't Treat")</f>
        <v>Treat</v>
      </c>
      <c r="F32" s="42" t="str">
        <f>IF((Analysis!D9-Analysis!D19)-(Analysis!M9-Analysis!M19)&gt;0,"Treat","Don't Treat")</f>
        <v>Treat</v>
      </c>
      <c r="G32" s="42" t="str">
        <f>IF((Analysis!E9-Analysis!E19)-(Analysis!N9-Analysis!N19)&gt;0,"Treat","Don't Treat")</f>
        <v>Treat</v>
      </c>
      <c r="H32" s="42" t="str">
        <f>IF((Analysis!F9-Analysis!F19)-(Analysis!O9-Analysis!O19)&gt;0,"Treat","Don't Treat")</f>
        <v>Treat</v>
      </c>
      <c r="I32" s="42" t="str">
        <f>IF((Analysis!G9-Analysis!G19)-(Analysis!P9-Analysis!P19)&gt;0,"Treat","Don't Treat")</f>
        <v>Treat</v>
      </c>
      <c r="J32" s="42" t="str">
        <f>IF((Analysis!H9-Analysis!H19)-(Analysis!Q9-Analysis!Q19)&gt;0,"Treat","Don't Treat")</f>
        <v>Treat</v>
      </c>
      <c r="K32" s="42" t="str">
        <f>IF((Analysis!I9-Analysis!I19)-(Analysis!R9-Analysis!R19)&gt;0,"Treat","Don't Treat")</f>
        <v>Treat</v>
      </c>
      <c r="L32" s="16"/>
      <c r="M32" s="15"/>
    </row>
    <row r="33" spans="2:14" ht="24" customHeight="1" thickBot="1" x14ac:dyDescent="0.25">
      <c r="B33" s="8"/>
      <c r="C33" s="63"/>
      <c r="D33" s="45">
        <v>125</v>
      </c>
      <c r="E33" s="42" t="str">
        <f>IF((Analysis!C10-Analysis!C20)-(Analysis!L10-Analysis!L20)&gt;0,"Treat","Don't Treat")</f>
        <v>Treat</v>
      </c>
      <c r="F33" s="42" t="str">
        <f>IF((Analysis!D10-Analysis!D20)-(Analysis!M10-Analysis!M20)&gt;0,"Treat","Don't Treat")</f>
        <v>Treat</v>
      </c>
      <c r="G33" s="42" t="str">
        <f>IF((Analysis!E10-Analysis!E20)-(Analysis!N10-Analysis!N20)&gt;0,"Treat","Don't Treat")</f>
        <v>Treat</v>
      </c>
      <c r="H33" s="42" t="str">
        <f>IF((Analysis!F10-Analysis!F20)-(Analysis!O10-Analysis!O20)&gt;0,"Treat","Don't Treat")</f>
        <v>Treat</v>
      </c>
      <c r="I33" s="42" t="str">
        <f>IF((Analysis!G10-Analysis!G20)-(Analysis!P10-Analysis!P20)&gt;0,"Treat","Don't Treat")</f>
        <v>Treat</v>
      </c>
      <c r="J33" s="42" t="str">
        <f>IF((Analysis!H10-Analysis!H20)-(Analysis!Q10-Analysis!Q20)&gt;0,"Treat","Don't Treat")</f>
        <v>Treat</v>
      </c>
      <c r="K33" s="43" t="str">
        <f>IF((Analysis!I10-Analysis!I20)-(Analysis!R10-Analysis!R20)&gt;0,"Treat","Don't Treat")</f>
        <v>Treat</v>
      </c>
      <c r="L33" s="13"/>
      <c r="M33" s="15"/>
    </row>
    <row r="34" spans="2:14" ht="24" customHeight="1" thickBot="1" x14ac:dyDescent="0.25">
      <c r="B34" s="8"/>
      <c r="C34" s="63"/>
      <c r="D34" s="46">
        <v>150</v>
      </c>
      <c r="E34" s="42" t="str">
        <f>IF((Analysis!C11-Analysis!C21)-(Analysis!L11-Analysis!L21)&gt;0,"Treat","Don't Treat")</f>
        <v>Treat</v>
      </c>
      <c r="F34" s="42" t="str">
        <f>IF((Analysis!D11-Analysis!D21)-(Analysis!M11-Analysis!M21)&gt;0,"Treat","Don't Treat")</f>
        <v>Treat</v>
      </c>
      <c r="G34" s="42" t="str">
        <f>IF((Analysis!E11-Analysis!E21)-(Analysis!N11-Analysis!N21)&gt;0,"Treat","Don't Treat")</f>
        <v>Treat</v>
      </c>
      <c r="H34" s="42" t="str">
        <f>IF((Analysis!F11-Analysis!F21)-(Analysis!O11-Analysis!O21)&gt;0,"Treat","Don't Treat")</f>
        <v>Treat</v>
      </c>
      <c r="I34" s="42" t="str">
        <f>IF((Analysis!G11-Analysis!G21)-(Analysis!P11-Analysis!P21)&gt;0,"Treat","Don't Treat")</f>
        <v>Treat</v>
      </c>
      <c r="J34" s="42" t="str">
        <f>IF((Analysis!H11-Analysis!H21)-(Analysis!Q11-Analysis!Q21)&gt;0,"Treat","Don't Treat")</f>
        <v>Treat</v>
      </c>
      <c r="K34" s="42" t="str">
        <f>IF((Analysis!I11-Analysis!I21)-(Analysis!R11-Analysis!R21)&gt;0,"Treat","Don't Treat")</f>
        <v>Treat</v>
      </c>
      <c r="L34" s="16"/>
      <c r="M34" s="15"/>
    </row>
    <row r="35" spans="2:14" ht="24" customHeight="1" thickBot="1" x14ac:dyDescent="0.25">
      <c r="B35" s="8"/>
      <c r="C35" s="63"/>
      <c r="D35" s="45">
        <v>175</v>
      </c>
      <c r="E35" s="42" t="str">
        <f>IF((Analysis!C12-Analysis!C22)-(Analysis!L12-Analysis!L22)&gt;0,"Treat","Don't Treat")</f>
        <v>Treat</v>
      </c>
      <c r="F35" s="42" t="str">
        <f>IF((Analysis!D12-Analysis!D22)-(Analysis!M12-Analysis!M22)&gt;0,"Treat","Don't Treat")</f>
        <v>Treat</v>
      </c>
      <c r="G35" s="42" t="str">
        <f>IF((Analysis!E12-Analysis!E22)-(Analysis!N12-Analysis!N22)&gt;0,"Treat","Don't Treat")</f>
        <v>Treat</v>
      </c>
      <c r="H35" s="42" t="str">
        <f>IF((Analysis!F12-Analysis!F22)-(Analysis!O12-Analysis!O22)&gt;0,"Treat","Don't Treat")</f>
        <v>Treat</v>
      </c>
      <c r="I35" s="42" t="str">
        <f>IF((Analysis!G12-Analysis!G22)-(Analysis!P12-Analysis!P22)&gt;0,"Treat","Don't Treat")</f>
        <v>Treat</v>
      </c>
      <c r="J35" s="42" t="str">
        <f>IF((Analysis!H12-Analysis!H22)-(Analysis!Q12-Analysis!Q22)&gt;0,"Treat","Don't Treat")</f>
        <v>Treat</v>
      </c>
      <c r="K35" s="44" t="str">
        <f>IF((Analysis!I12-Analysis!I22)-(Analysis!R12-Analysis!R22)&gt;0,"Treat","Don't Treat")</f>
        <v>Treat</v>
      </c>
      <c r="L35" s="16"/>
      <c r="M35" s="15"/>
    </row>
    <row r="36" spans="2:14" ht="4.5" customHeight="1" x14ac:dyDescent="0.2">
      <c r="B36" s="8"/>
      <c r="C36" s="17"/>
      <c r="D36" s="7"/>
      <c r="E36" s="18"/>
      <c r="F36" s="18"/>
      <c r="G36" s="18"/>
      <c r="H36" s="18"/>
      <c r="I36" s="18"/>
      <c r="J36" s="18"/>
      <c r="K36" s="18"/>
      <c r="L36" s="13"/>
      <c r="M36" s="8"/>
      <c r="N36" s="8"/>
    </row>
    <row r="37" spans="2:14" s="24" customFormat="1" ht="13.5" thickBot="1" x14ac:dyDescent="0.25">
      <c r="B37" s="19"/>
      <c r="C37" s="20"/>
      <c r="D37" s="21"/>
      <c r="E37" s="21"/>
      <c r="F37" s="21"/>
      <c r="G37" s="21"/>
      <c r="H37" s="21"/>
      <c r="I37" s="21"/>
      <c r="J37" s="22"/>
      <c r="K37" s="21"/>
      <c r="L37" s="23"/>
      <c r="M37" s="19"/>
      <c r="N37" s="19"/>
    </row>
    <row r="38" spans="2:14" x14ac:dyDescent="0.2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2:14" x14ac:dyDescent="0.2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</sheetData>
  <sheetProtection sheet="1" objects="1" scenarios="1"/>
  <mergeCells count="7">
    <mergeCell ref="C29:C35"/>
    <mergeCell ref="E27:K27"/>
    <mergeCell ref="F2:I8"/>
    <mergeCell ref="C25:L25"/>
    <mergeCell ref="C26:L26"/>
    <mergeCell ref="I18:M22"/>
    <mergeCell ref="I14:L16"/>
  </mergeCells>
  <conditionalFormatting sqref="E29:K35">
    <cfRule type="notContainsText" dxfId="1" priority="1" operator="notContains" text="Don't">
      <formula>ISERROR(SEARCH("Don't",E29))</formula>
    </cfRule>
    <cfRule type="containsText" dxfId="0" priority="2" operator="containsText" text="Don't">
      <formula>NOT(ISERROR(SEARCH("Don't",E29)))</formula>
    </cfRule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AA23"/>
  <sheetViews>
    <sheetView workbookViewId="0">
      <selection activeCell="AA17" sqref="AA17"/>
    </sheetView>
  </sheetViews>
  <sheetFormatPr defaultRowHeight="12.75" x14ac:dyDescent="0.2"/>
  <cols>
    <col min="1" max="16384" width="9.140625" style="36"/>
  </cols>
  <sheetData>
    <row r="4" spans="2:27" x14ac:dyDescent="0.2">
      <c r="B4" s="34"/>
      <c r="C4" s="34"/>
      <c r="D4" s="74" t="s">
        <v>0</v>
      </c>
      <c r="E4" s="74"/>
      <c r="F4" s="74"/>
      <c r="G4" s="74"/>
      <c r="H4" s="74"/>
      <c r="I4" s="35"/>
      <c r="J4" s="34"/>
      <c r="K4" s="34"/>
      <c r="L4" s="34"/>
      <c r="M4" s="74" t="s">
        <v>2</v>
      </c>
      <c r="N4" s="74"/>
      <c r="O4" s="74"/>
      <c r="P4" s="74"/>
      <c r="Q4" s="74"/>
      <c r="R4" s="35"/>
      <c r="S4" s="34"/>
      <c r="T4" s="34"/>
      <c r="U4" s="34"/>
      <c r="V4" s="74" t="s">
        <v>3</v>
      </c>
      <c r="W4" s="74"/>
      <c r="X4" s="74"/>
      <c r="Y4" s="74"/>
      <c r="Z4" s="74"/>
    </row>
    <row r="5" spans="2:27" x14ac:dyDescent="0.2">
      <c r="B5" s="34"/>
      <c r="C5" s="37">
        <f>'Sugarcane Aphid Analysis'!E28</f>
        <v>55</v>
      </c>
      <c r="D5" s="37">
        <f>'Sugarcane Aphid Analysis'!F28</f>
        <v>60</v>
      </c>
      <c r="E5" s="37">
        <f>'Sugarcane Aphid Analysis'!G28</f>
        <v>65</v>
      </c>
      <c r="F5" s="37">
        <f>'Sugarcane Aphid Analysis'!H28</f>
        <v>70</v>
      </c>
      <c r="G5" s="37">
        <f>'Sugarcane Aphid Analysis'!I28</f>
        <v>75</v>
      </c>
      <c r="H5" s="37">
        <f>'Sugarcane Aphid Analysis'!J28</f>
        <v>80</v>
      </c>
      <c r="I5" s="37">
        <f>'Sugarcane Aphid Analysis'!K28</f>
        <v>85</v>
      </c>
      <c r="J5" s="34"/>
      <c r="K5" s="34"/>
      <c r="L5" s="37">
        <f>'Sugarcane Aphid Analysis'!E28</f>
        <v>55</v>
      </c>
      <c r="M5" s="37">
        <f>'Sugarcane Aphid Analysis'!F28</f>
        <v>60</v>
      </c>
      <c r="N5" s="37">
        <f>'Sugarcane Aphid Analysis'!G28</f>
        <v>65</v>
      </c>
      <c r="O5" s="37">
        <f>'Sugarcane Aphid Analysis'!H28</f>
        <v>70</v>
      </c>
      <c r="P5" s="37">
        <f>'Sugarcane Aphid Analysis'!I28</f>
        <v>75</v>
      </c>
      <c r="Q5" s="37">
        <f>'Sugarcane Aphid Analysis'!J28</f>
        <v>80</v>
      </c>
      <c r="R5" s="37">
        <f>'Sugarcane Aphid Analysis'!K28</f>
        <v>85</v>
      </c>
      <c r="S5" s="34"/>
      <c r="T5" s="34"/>
      <c r="U5" s="37">
        <f>'Sugarcane Aphid Analysis'!E28</f>
        <v>55</v>
      </c>
      <c r="V5" s="37">
        <f>'Sugarcane Aphid Analysis'!F28</f>
        <v>60</v>
      </c>
      <c r="W5" s="37">
        <f>'Sugarcane Aphid Analysis'!G28</f>
        <v>65</v>
      </c>
      <c r="X5" s="37">
        <f>'Sugarcane Aphid Analysis'!H28</f>
        <v>70</v>
      </c>
      <c r="Y5" s="37">
        <f>'Sugarcane Aphid Analysis'!I28</f>
        <v>75</v>
      </c>
      <c r="Z5" s="37">
        <f>'Sugarcane Aphid Analysis'!J28</f>
        <v>80</v>
      </c>
      <c r="AA5" s="37">
        <f>'Sugarcane Aphid Analysis'!K28</f>
        <v>85</v>
      </c>
    </row>
    <row r="6" spans="2:27" x14ac:dyDescent="0.2">
      <c r="B6" s="38">
        <v>25</v>
      </c>
      <c r="C6" s="39">
        <f>'Sugarcane Aphid Analysis'!$H$14*Analysis!U6</f>
        <v>206.25</v>
      </c>
      <c r="D6" s="39">
        <f>'Sugarcane Aphid Analysis'!$H$14*Analysis!V6</f>
        <v>225</v>
      </c>
      <c r="E6" s="39">
        <f>'Sugarcane Aphid Analysis'!$H$14*Analysis!W6</f>
        <v>243.75</v>
      </c>
      <c r="F6" s="39">
        <f>'Sugarcane Aphid Analysis'!$H$14*Analysis!X6</f>
        <v>262.5</v>
      </c>
      <c r="G6" s="39">
        <f>'Sugarcane Aphid Analysis'!$H$14*Analysis!Y6</f>
        <v>281.25</v>
      </c>
      <c r="H6" s="39">
        <f>'Sugarcane Aphid Analysis'!$H$14*Analysis!Z6</f>
        <v>300</v>
      </c>
      <c r="I6" s="39">
        <f>'Sugarcane Aphid Analysis'!$H$14*Analysis!AA6</f>
        <v>318.75</v>
      </c>
      <c r="J6" s="34"/>
      <c r="K6" s="38">
        <v>25</v>
      </c>
      <c r="L6" s="39">
        <f>('Sugarcane Aphid Analysis'!$I$12)+('Sugarcane Aphid Analysis'!$H$16*Analysis!U6)+('Sugarcane Aphid Analysis'!$H$18*Analysis!U6)</f>
        <v>41.400000000000006</v>
      </c>
      <c r="M6" s="39">
        <f>('Sugarcane Aphid Analysis'!$I$12)+('Sugarcane Aphid Analysis'!$H$16*Analysis!V6)+('Sugarcane Aphid Analysis'!$H$18*Analysis!V6)</f>
        <v>43.8</v>
      </c>
      <c r="N6" s="39">
        <f>('Sugarcane Aphid Analysis'!$I$12)+('Sugarcane Aphid Analysis'!$H$16*Analysis!W6)+('Sugarcane Aphid Analysis'!$H$18*Analysis!W6)</f>
        <v>46.2</v>
      </c>
      <c r="O6" s="39">
        <f>('Sugarcane Aphid Analysis'!$I$12)+('Sugarcane Aphid Analysis'!$H$16*Analysis!X6)+('Sugarcane Aphid Analysis'!$H$18*Analysis!X6)</f>
        <v>48.6</v>
      </c>
      <c r="P6" s="39">
        <f>('Sugarcane Aphid Analysis'!$I$12)+('Sugarcane Aphid Analysis'!$H$16*Analysis!Y6)+('Sugarcane Aphid Analysis'!$H$18*Analysis!Y6)</f>
        <v>51</v>
      </c>
      <c r="Q6" s="39">
        <f>('Sugarcane Aphid Analysis'!$I$12)+('Sugarcane Aphid Analysis'!$H$16*Analysis!Z6)+('Sugarcane Aphid Analysis'!$H$18*Analysis!Z6)</f>
        <v>53.400000000000006</v>
      </c>
      <c r="R6" s="39">
        <f>('Sugarcane Aphid Analysis'!$I$12)+('Sugarcane Aphid Analysis'!$H$16*Analysis!AA6)+('Sugarcane Aphid Analysis'!$H$18*Analysis!AA6)</f>
        <v>55.8</v>
      </c>
      <c r="S6" s="34"/>
      <c r="T6" s="38">
        <v>25</v>
      </c>
      <c r="U6" s="40">
        <f>(U$5)</f>
        <v>55</v>
      </c>
      <c r="V6" s="40">
        <f t="shared" ref="V6:AA12" si="0">(V$5)</f>
        <v>60</v>
      </c>
      <c r="W6" s="40">
        <f t="shared" si="0"/>
        <v>65</v>
      </c>
      <c r="X6" s="40">
        <f t="shared" si="0"/>
        <v>70</v>
      </c>
      <c r="Y6" s="40">
        <f t="shared" si="0"/>
        <v>75</v>
      </c>
      <c r="Z6" s="40">
        <f t="shared" si="0"/>
        <v>80</v>
      </c>
      <c r="AA6" s="40">
        <f t="shared" si="0"/>
        <v>85</v>
      </c>
    </row>
    <row r="7" spans="2:27" x14ac:dyDescent="0.2">
      <c r="B7" s="38">
        <v>50</v>
      </c>
      <c r="C7" s="39">
        <f>'Sugarcane Aphid Analysis'!$H$14*Analysis!U7</f>
        <v>206.25</v>
      </c>
      <c r="D7" s="39">
        <f>'Sugarcane Aphid Analysis'!$H$14*Analysis!V7</f>
        <v>225</v>
      </c>
      <c r="E7" s="39">
        <f>'Sugarcane Aphid Analysis'!$H$14*Analysis!W7</f>
        <v>243.75</v>
      </c>
      <c r="F7" s="39">
        <f>'Sugarcane Aphid Analysis'!$H$14*Analysis!X7</f>
        <v>262.5</v>
      </c>
      <c r="G7" s="39">
        <f>'Sugarcane Aphid Analysis'!$H$14*Analysis!Y7</f>
        <v>281.25</v>
      </c>
      <c r="H7" s="39">
        <f>'Sugarcane Aphid Analysis'!$H$14*Analysis!Z7</f>
        <v>300</v>
      </c>
      <c r="I7" s="39">
        <f>'Sugarcane Aphid Analysis'!$H$14*Analysis!AA7</f>
        <v>318.75</v>
      </c>
      <c r="J7" s="34"/>
      <c r="K7" s="38">
        <v>50</v>
      </c>
      <c r="L7" s="39">
        <f>('Sugarcane Aphid Analysis'!$I$12)+('Sugarcane Aphid Analysis'!$H$16*Analysis!U7)+('Sugarcane Aphid Analysis'!$H$18*Analysis!U7)</f>
        <v>41.400000000000006</v>
      </c>
      <c r="M7" s="39">
        <f>('Sugarcane Aphid Analysis'!$I$12)+('Sugarcane Aphid Analysis'!$H$16*Analysis!V7)+('Sugarcane Aphid Analysis'!$H$18*Analysis!V7)</f>
        <v>43.8</v>
      </c>
      <c r="N7" s="39">
        <f>('Sugarcane Aphid Analysis'!$I$12)+('Sugarcane Aphid Analysis'!$H$16*Analysis!W7)+('Sugarcane Aphid Analysis'!$H$18*Analysis!W7)</f>
        <v>46.2</v>
      </c>
      <c r="O7" s="39">
        <f>('Sugarcane Aphid Analysis'!$I$12)+('Sugarcane Aphid Analysis'!$H$16*Analysis!X7)+('Sugarcane Aphid Analysis'!$H$18*Analysis!X7)</f>
        <v>48.6</v>
      </c>
      <c r="P7" s="39">
        <f>('Sugarcane Aphid Analysis'!$I$12)+('Sugarcane Aphid Analysis'!$H$16*Analysis!Y7)+('Sugarcane Aphid Analysis'!$H$18*Analysis!Y7)</f>
        <v>51</v>
      </c>
      <c r="Q7" s="39">
        <f>('Sugarcane Aphid Analysis'!$I$12)+('Sugarcane Aphid Analysis'!$H$16*Analysis!Z7)+('Sugarcane Aphid Analysis'!$H$18*Analysis!Z7)</f>
        <v>53.400000000000006</v>
      </c>
      <c r="R7" s="39">
        <f>('Sugarcane Aphid Analysis'!$I$12)+('Sugarcane Aphid Analysis'!$H$16*Analysis!AA7)+('Sugarcane Aphid Analysis'!$H$18*Analysis!AA7)</f>
        <v>55.8</v>
      </c>
      <c r="S7" s="34"/>
      <c r="T7" s="38">
        <v>50</v>
      </c>
      <c r="U7" s="40">
        <f t="shared" ref="U7:U12" si="1">(U$5)</f>
        <v>55</v>
      </c>
      <c r="V7" s="40">
        <f t="shared" si="0"/>
        <v>60</v>
      </c>
      <c r="W7" s="40">
        <f t="shared" si="0"/>
        <v>65</v>
      </c>
      <c r="X7" s="40">
        <f t="shared" si="0"/>
        <v>70</v>
      </c>
      <c r="Y7" s="40">
        <f t="shared" si="0"/>
        <v>75</v>
      </c>
      <c r="Z7" s="40">
        <f t="shared" si="0"/>
        <v>80</v>
      </c>
      <c r="AA7" s="40">
        <f t="shared" si="0"/>
        <v>85</v>
      </c>
    </row>
    <row r="8" spans="2:27" x14ac:dyDescent="0.2">
      <c r="B8" s="38">
        <v>75</v>
      </c>
      <c r="C8" s="39">
        <f>'Sugarcane Aphid Analysis'!$H$14*Analysis!U8</f>
        <v>206.25</v>
      </c>
      <c r="D8" s="39">
        <f>'Sugarcane Aphid Analysis'!$H$14*Analysis!V8</f>
        <v>225</v>
      </c>
      <c r="E8" s="39">
        <f>'Sugarcane Aphid Analysis'!$H$14*Analysis!W8</f>
        <v>243.75</v>
      </c>
      <c r="F8" s="39">
        <f>'Sugarcane Aphid Analysis'!$H$14*Analysis!X8</f>
        <v>262.5</v>
      </c>
      <c r="G8" s="39">
        <f>'Sugarcane Aphid Analysis'!$H$14*Analysis!Y8</f>
        <v>281.25</v>
      </c>
      <c r="H8" s="39">
        <f>'Sugarcane Aphid Analysis'!$H$14*Analysis!Z8</f>
        <v>300</v>
      </c>
      <c r="I8" s="39">
        <f>'Sugarcane Aphid Analysis'!$H$14*Analysis!AA8</f>
        <v>318.75</v>
      </c>
      <c r="J8" s="34"/>
      <c r="K8" s="38">
        <v>75</v>
      </c>
      <c r="L8" s="39">
        <f>('Sugarcane Aphid Analysis'!$I$12)+('Sugarcane Aphid Analysis'!$H$16*Analysis!U8)+('Sugarcane Aphid Analysis'!$H$18*Analysis!U8)</f>
        <v>41.400000000000006</v>
      </c>
      <c r="M8" s="39">
        <f>('Sugarcane Aphid Analysis'!$I$12)+('Sugarcane Aphid Analysis'!$H$16*Analysis!V8)+('Sugarcane Aphid Analysis'!$H$18*Analysis!V8)</f>
        <v>43.8</v>
      </c>
      <c r="N8" s="39">
        <f>('Sugarcane Aphid Analysis'!$I$12)+('Sugarcane Aphid Analysis'!$H$16*Analysis!W8)+('Sugarcane Aphid Analysis'!$H$18*Analysis!W8)</f>
        <v>46.2</v>
      </c>
      <c r="O8" s="39">
        <f>('Sugarcane Aphid Analysis'!$I$12)+('Sugarcane Aphid Analysis'!$H$16*Analysis!X8)+('Sugarcane Aphid Analysis'!$H$18*Analysis!X8)</f>
        <v>48.6</v>
      </c>
      <c r="P8" s="39">
        <f>('Sugarcane Aphid Analysis'!$I$12)+('Sugarcane Aphid Analysis'!$H$16*Analysis!Y8)+('Sugarcane Aphid Analysis'!$H$18*Analysis!Y8)</f>
        <v>51</v>
      </c>
      <c r="Q8" s="39">
        <f>('Sugarcane Aphid Analysis'!$I$12)+('Sugarcane Aphid Analysis'!$H$16*Analysis!Z8)+('Sugarcane Aphid Analysis'!$H$18*Analysis!Z8)</f>
        <v>53.400000000000006</v>
      </c>
      <c r="R8" s="39">
        <f>('Sugarcane Aphid Analysis'!$I$12)+('Sugarcane Aphid Analysis'!$H$16*Analysis!AA8)+('Sugarcane Aphid Analysis'!$H$18*Analysis!AA8)</f>
        <v>55.8</v>
      </c>
      <c r="S8" s="34"/>
      <c r="T8" s="38">
        <v>75</v>
      </c>
      <c r="U8" s="40">
        <f t="shared" si="1"/>
        <v>55</v>
      </c>
      <c r="V8" s="40">
        <f t="shared" si="0"/>
        <v>60</v>
      </c>
      <c r="W8" s="40">
        <f t="shared" si="0"/>
        <v>65</v>
      </c>
      <c r="X8" s="40">
        <f t="shared" si="0"/>
        <v>70</v>
      </c>
      <c r="Y8" s="40">
        <f t="shared" si="0"/>
        <v>75</v>
      </c>
      <c r="Z8" s="40">
        <f t="shared" si="0"/>
        <v>80</v>
      </c>
      <c r="AA8" s="40">
        <f t="shared" si="0"/>
        <v>85</v>
      </c>
    </row>
    <row r="9" spans="2:27" x14ac:dyDescent="0.2">
      <c r="B9" s="38">
        <v>100</v>
      </c>
      <c r="C9" s="39">
        <f>'Sugarcane Aphid Analysis'!$H$14*Analysis!U9</f>
        <v>206.25</v>
      </c>
      <c r="D9" s="39">
        <f>'Sugarcane Aphid Analysis'!$H$14*Analysis!V9</f>
        <v>225</v>
      </c>
      <c r="E9" s="39">
        <f>'Sugarcane Aphid Analysis'!$H$14*Analysis!W9</f>
        <v>243.75</v>
      </c>
      <c r="F9" s="39">
        <f>'Sugarcane Aphid Analysis'!$H$14*Analysis!X9</f>
        <v>262.5</v>
      </c>
      <c r="G9" s="39">
        <f>'Sugarcane Aphid Analysis'!$H$14*Analysis!Y9</f>
        <v>281.25</v>
      </c>
      <c r="H9" s="39">
        <f>'Sugarcane Aphid Analysis'!$H$14*Analysis!Z9</f>
        <v>300</v>
      </c>
      <c r="I9" s="39">
        <f>'Sugarcane Aphid Analysis'!$H$14*Analysis!AA9</f>
        <v>318.75</v>
      </c>
      <c r="J9" s="34"/>
      <c r="K9" s="38">
        <v>100</v>
      </c>
      <c r="L9" s="39">
        <f>('Sugarcane Aphid Analysis'!$I$12)+('Sugarcane Aphid Analysis'!$H$16*Analysis!U9)+('Sugarcane Aphid Analysis'!$H$18*Analysis!U9)</f>
        <v>41.400000000000006</v>
      </c>
      <c r="M9" s="39">
        <f>('Sugarcane Aphid Analysis'!$I$12)+('Sugarcane Aphid Analysis'!$H$16*Analysis!V9)+('Sugarcane Aphid Analysis'!$H$18*Analysis!V9)</f>
        <v>43.8</v>
      </c>
      <c r="N9" s="39">
        <f>('Sugarcane Aphid Analysis'!$I$12)+('Sugarcane Aphid Analysis'!$H$16*Analysis!W9)+('Sugarcane Aphid Analysis'!$H$18*Analysis!W9)</f>
        <v>46.2</v>
      </c>
      <c r="O9" s="39">
        <f>('Sugarcane Aphid Analysis'!$I$12)+('Sugarcane Aphid Analysis'!$H$16*Analysis!X9)+('Sugarcane Aphid Analysis'!$H$18*Analysis!X9)</f>
        <v>48.6</v>
      </c>
      <c r="P9" s="39">
        <f>('Sugarcane Aphid Analysis'!$I$12)+('Sugarcane Aphid Analysis'!$H$16*Analysis!Y9)+('Sugarcane Aphid Analysis'!$H$18*Analysis!Y9)</f>
        <v>51</v>
      </c>
      <c r="Q9" s="39">
        <f>('Sugarcane Aphid Analysis'!$I$12)+('Sugarcane Aphid Analysis'!$H$16*Analysis!Z9)+('Sugarcane Aphid Analysis'!$H$18*Analysis!Z9)</f>
        <v>53.400000000000006</v>
      </c>
      <c r="R9" s="39">
        <f>('Sugarcane Aphid Analysis'!$I$12)+('Sugarcane Aphid Analysis'!$H$16*Analysis!AA9)+('Sugarcane Aphid Analysis'!$H$18*Analysis!AA9)</f>
        <v>55.8</v>
      </c>
      <c r="S9" s="34"/>
      <c r="T9" s="38">
        <v>100</v>
      </c>
      <c r="U9" s="40">
        <f t="shared" si="1"/>
        <v>55</v>
      </c>
      <c r="V9" s="40">
        <f t="shared" si="0"/>
        <v>60</v>
      </c>
      <c r="W9" s="40">
        <f t="shared" si="0"/>
        <v>65</v>
      </c>
      <c r="X9" s="40">
        <f t="shared" si="0"/>
        <v>70</v>
      </c>
      <c r="Y9" s="40">
        <f t="shared" si="0"/>
        <v>75</v>
      </c>
      <c r="Z9" s="40">
        <f t="shared" si="0"/>
        <v>80</v>
      </c>
      <c r="AA9" s="40">
        <f t="shared" si="0"/>
        <v>85</v>
      </c>
    </row>
    <row r="10" spans="2:27" x14ac:dyDescent="0.2">
      <c r="B10" s="38">
        <v>125</v>
      </c>
      <c r="C10" s="39">
        <f>'Sugarcane Aphid Analysis'!$H$14*Analysis!U10</f>
        <v>206.25</v>
      </c>
      <c r="D10" s="39">
        <f>'Sugarcane Aphid Analysis'!$H$14*Analysis!V10</f>
        <v>225</v>
      </c>
      <c r="E10" s="39">
        <f>'Sugarcane Aphid Analysis'!$H$14*Analysis!W10</f>
        <v>243.75</v>
      </c>
      <c r="F10" s="39">
        <f>'Sugarcane Aphid Analysis'!$H$14*Analysis!X10</f>
        <v>262.5</v>
      </c>
      <c r="G10" s="39">
        <f>'Sugarcane Aphid Analysis'!$H$14*Analysis!Y10</f>
        <v>281.25</v>
      </c>
      <c r="H10" s="39">
        <f>'Sugarcane Aphid Analysis'!$H$14*Analysis!Z10</f>
        <v>300</v>
      </c>
      <c r="I10" s="39">
        <f>'Sugarcane Aphid Analysis'!$H$14*Analysis!AA10</f>
        <v>318.75</v>
      </c>
      <c r="J10" s="34"/>
      <c r="K10" s="38">
        <v>125</v>
      </c>
      <c r="L10" s="39">
        <f>('Sugarcane Aphid Analysis'!$I$12)+('Sugarcane Aphid Analysis'!$H$16*Analysis!U10)+('Sugarcane Aphid Analysis'!$H$18*Analysis!U10)</f>
        <v>41.400000000000006</v>
      </c>
      <c r="M10" s="39">
        <f>('Sugarcane Aphid Analysis'!$I$12)+('Sugarcane Aphid Analysis'!$H$16*Analysis!V10)+('Sugarcane Aphid Analysis'!$H$18*Analysis!V10)</f>
        <v>43.8</v>
      </c>
      <c r="N10" s="39">
        <f>('Sugarcane Aphid Analysis'!$I$12)+('Sugarcane Aphid Analysis'!$H$16*Analysis!W10)+('Sugarcane Aphid Analysis'!$H$18*Analysis!W10)</f>
        <v>46.2</v>
      </c>
      <c r="O10" s="39">
        <f>('Sugarcane Aphid Analysis'!$I$12)+('Sugarcane Aphid Analysis'!$H$16*Analysis!X10)+('Sugarcane Aphid Analysis'!$H$18*Analysis!X10)</f>
        <v>48.6</v>
      </c>
      <c r="P10" s="39">
        <f>('Sugarcane Aphid Analysis'!$I$12)+('Sugarcane Aphid Analysis'!$H$16*Analysis!Y10)+('Sugarcane Aphid Analysis'!$H$18*Analysis!Y10)</f>
        <v>51</v>
      </c>
      <c r="Q10" s="39">
        <f>('Sugarcane Aphid Analysis'!$I$12)+('Sugarcane Aphid Analysis'!$H$16*Analysis!Z10)+('Sugarcane Aphid Analysis'!$H$18*Analysis!Z10)</f>
        <v>53.400000000000006</v>
      </c>
      <c r="R10" s="39">
        <f>('Sugarcane Aphid Analysis'!$I$12)+('Sugarcane Aphid Analysis'!$H$16*Analysis!AA10)+('Sugarcane Aphid Analysis'!$H$18*Analysis!AA10)</f>
        <v>55.8</v>
      </c>
      <c r="S10" s="34"/>
      <c r="T10" s="38">
        <v>125</v>
      </c>
      <c r="U10" s="40">
        <f t="shared" si="1"/>
        <v>55</v>
      </c>
      <c r="V10" s="40">
        <f t="shared" si="0"/>
        <v>60</v>
      </c>
      <c r="W10" s="40">
        <f t="shared" si="0"/>
        <v>65</v>
      </c>
      <c r="X10" s="40">
        <f t="shared" si="0"/>
        <v>70</v>
      </c>
      <c r="Y10" s="40">
        <f t="shared" si="0"/>
        <v>75</v>
      </c>
      <c r="Z10" s="40">
        <f t="shared" si="0"/>
        <v>80</v>
      </c>
      <c r="AA10" s="40">
        <f t="shared" si="0"/>
        <v>85</v>
      </c>
    </row>
    <row r="11" spans="2:27" x14ac:dyDescent="0.2">
      <c r="B11" s="38">
        <v>150</v>
      </c>
      <c r="C11" s="39">
        <f>'Sugarcane Aphid Analysis'!$H$14*Analysis!U11</f>
        <v>206.25</v>
      </c>
      <c r="D11" s="39">
        <f>'Sugarcane Aphid Analysis'!$H$14*Analysis!V11</f>
        <v>225</v>
      </c>
      <c r="E11" s="39">
        <f>'Sugarcane Aphid Analysis'!$H$14*Analysis!W11</f>
        <v>243.75</v>
      </c>
      <c r="F11" s="39">
        <f>'Sugarcane Aphid Analysis'!$H$14*Analysis!X11</f>
        <v>262.5</v>
      </c>
      <c r="G11" s="39">
        <f>'Sugarcane Aphid Analysis'!$H$14*Analysis!Y11</f>
        <v>281.25</v>
      </c>
      <c r="H11" s="39">
        <f>'Sugarcane Aphid Analysis'!$H$14*Analysis!Z11</f>
        <v>300</v>
      </c>
      <c r="I11" s="39">
        <f>'Sugarcane Aphid Analysis'!$H$14*Analysis!AA11</f>
        <v>318.75</v>
      </c>
      <c r="J11" s="34"/>
      <c r="K11" s="38">
        <v>150</v>
      </c>
      <c r="L11" s="39">
        <f>('Sugarcane Aphid Analysis'!$I$12)+('Sugarcane Aphid Analysis'!$H$16*Analysis!U11)+('Sugarcane Aphid Analysis'!$H$18*Analysis!U11)</f>
        <v>41.400000000000006</v>
      </c>
      <c r="M11" s="39">
        <f>('Sugarcane Aphid Analysis'!$I$12)+('Sugarcane Aphid Analysis'!$H$16*Analysis!V11)+('Sugarcane Aphid Analysis'!$H$18*Analysis!V11)</f>
        <v>43.8</v>
      </c>
      <c r="N11" s="39">
        <f>('Sugarcane Aphid Analysis'!$I$12)+('Sugarcane Aphid Analysis'!$H$16*Analysis!W11)+('Sugarcane Aphid Analysis'!$H$18*Analysis!W11)</f>
        <v>46.2</v>
      </c>
      <c r="O11" s="39">
        <f>('Sugarcane Aphid Analysis'!$I$12)+('Sugarcane Aphid Analysis'!$H$16*Analysis!X11)+('Sugarcane Aphid Analysis'!$H$18*Analysis!X11)</f>
        <v>48.6</v>
      </c>
      <c r="P11" s="39">
        <f>('Sugarcane Aphid Analysis'!$I$12)+('Sugarcane Aphid Analysis'!$H$16*Analysis!Y11)+('Sugarcane Aphid Analysis'!$H$18*Analysis!Y11)</f>
        <v>51</v>
      </c>
      <c r="Q11" s="39">
        <f>('Sugarcane Aphid Analysis'!$I$12)+('Sugarcane Aphid Analysis'!$H$16*Analysis!Z11)+('Sugarcane Aphid Analysis'!$H$18*Analysis!Z11)</f>
        <v>53.400000000000006</v>
      </c>
      <c r="R11" s="39">
        <f>('Sugarcane Aphid Analysis'!$I$12)+('Sugarcane Aphid Analysis'!$H$16*Analysis!AA11)+('Sugarcane Aphid Analysis'!$H$18*Analysis!AA11)</f>
        <v>55.8</v>
      </c>
      <c r="S11" s="34"/>
      <c r="T11" s="38">
        <v>150</v>
      </c>
      <c r="U11" s="40">
        <f t="shared" si="1"/>
        <v>55</v>
      </c>
      <c r="V11" s="40">
        <f t="shared" si="0"/>
        <v>60</v>
      </c>
      <c r="W11" s="40">
        <f t="shared" si="0"/>
        <v>65</v>
      </c>
      <c r="X11" s="40">
        <f t="shared" si="0"/>
        <v>70</v>
      </c>
      <c r="Y11" s="40">
        <f t="shared" si="0"/>
        <v>75</v>
      </c>
      <c r="Z11" s="40">
        <f t="shared" si="0"/>
        <v>80</v>
      </c>
      <c r="AA11" s="40">
        <f t="shared" si="0"/>
        <v>85</v>
      </c>
    </row>
    <row r="12" spans="2:27" x14ac:dyDescent="0.2">
      <c r="B12" s="38">
        <v>175</v>
      </c>
      <c r="C12" s="39">
        <f>'Sugarcane Aphid Analysis'!$H$14*Analysis!U12</f>
        <v>206.25</v>
      </c>
      <c r="D12" s="39">
        <f>'Sugarcane Aphid Analysis'!$H$14*Analysis!V12</f>
        <v>225</v>
      </c>
      <c r="E12" s="39">
        <f>'Sugarcane Aphid Analysis'!$H$14*Analysis!W12</f>
        <v>243.75</v>
      </c>
      <c r="F12" s="39">
        <f>'Sugarcane Aphid Analysis'!$H$14*Analysis!X12</f>
        <v>262.5</v>
      </c>
      <c r="G12" s="39">
        <f>'Sugarcane Aphid Analysis'!$H$14*Analysis!Y12</f>
        <v>281.25</v>
      </c>
      <c r="H12" s="39">
        <f>'Sugarcane Aphid Analysis'!$H$14*Analysis!Z12</f>
        <v>300</v>
      </c>
      <c r="I12" s="39">
        <f>'Sugarcane Aphid Analysis'!$H$14*Analysis!AA12</f>
        <v>318.75</v>
      </c>
      <c r="J12" s="34"/>
      <c r="K12" s="38">
        <v>175</v>
      </c>
      <c r="L12" s="39">
        <f>('Sugarcane Aphid Analysis'!$I$12)+('Sugarcane Aphid Analysis'!$H$16*Analysis!U12)+('Sugarcane Aphid Analysis'!$H$18*Analysis!U12)</f>
        <v>41.400000000000006</v>
      </c>
      <c r="M12" s="39">
        <f>('Sugarcane Aphid Analysis'!$I$12)+('Sugarcane Aphid Analysis'!$H$16*Analysis!V12)+('Sugarcane Aphid Analysis'!$H$18*Analysis!V12)</f>
        <v>43.8</v>
      </c>
      <c r="N12" s="39">
        <f>('Sugarcane Aphid Analysis'!$I$12)+('Sugarcane Aphid Analysis'!$H$16*Analysis!W12)+('Sugarcane Aphid Analysis'!$H$18*Analysis!W12)</f>
        <v>46.2</v>
      </c>
      <c r="O12" s="39">
        <f>('Sugarcane Aphid Analysis'!$I$12)+('Sugarcane Aphid Analysis'!$H$16*Analysis!X12)+('Sugarcane Aphid Analysis'!$H$18*Analysis!X12)</f>
        <v>48.6</v>
      </c>
      <c r="P12" s="39">
        <f>('Sugarcane Aphid Analysis'!$I$12)+('Sugarcane Aphid Analysis'!$H$16*Analysis!Y12)+('Sugarcane Aphid Analysis'!$H$18*Analysis!Y12)</f>
        <v>51</v>
      </c>
      <c r="Q12" s="39">
        <f>('Sugarcane Aphid Analysis'!$I$12)+('Sugarcane Aphid Analysis'!$H$16*Analysis!Z12)+('Sugarcane Aphid Analysis'!$H$18*Analysis!Z12)</f>
        <v>53.400000000000006</v>
      </c>
      <c r="R12" s="39">
        <f>('Sugarcane Aphid Analysis'!$I$12)+('Sugarcane Aphid Analysis'!$H$16*Analysis!AA12)+('Sugarcane Aphid Analysis'!$H$18*Analysis!AA12)</f>
        <v>55.8</v>
      </c>
      <c r="S12" s="34"/>
      <c r="T12" s="38">
        <v>175</v>
      </c>
      <c r="U12" s="40">
        <f t="shared" si="1"/>
        <v>55</v>
      </c>
      <c r="V12" s="40">
        <f t="shared" si="0"/>
        <v>60</v>
      </c>
      <c r="W12" s="40">
        <f t="shared" si="0"/>
        <v>65</v>
      </c>
      <c r="X12" s="40">
        <f t="shared" si="0"/>
        <v>70</v>
      </c>
      <c r="Y12" s="40">
        <f t="shared" si="0"/>
        <v>75</v>
      </c>
      <c r="Z12" s="40">
        <f t="shared" si="0"/>
        <v>80</v>
      </c>
      <c r="AA12" s="40">
        <f t="shared" si="0"/>
        <v>85</v>
      </c>
    </row>
    <row r="13" spans="2:27" x14ac:dyDescent="0.2">
      <c r="B13" s="37"/>
      <c r="C13" s="34"/>
      <c r="D13" s="34"/>
      <c r="E13" s="34"/>
      <c r="F13" s="34"/>
      <c r="G13" s="34"/>
      <c r="H13" s="34"/>
      <c r="I13" s="34"/>
      <c r="J13" s="34"/>
      <c r="K13" s="37"/>
      <c r="L13" s="34"/>
      <c r="M13" s="34"/>
      <c r="N13" s="34"/>
      <c r="O13" s="34"/>
      <c r="P13" s="34"/>
      <c r="Q13" s="34"/>
      <c r="R13" s="34"/>
      <c r="S13" s="34"/>
      <c r="T13" s="37"/>
      <c r="U13" s="34"/>
      <c r="V13" s="34"/>
      <c r="W13" s="34"/>
      <c r="X13" s="34"/>
      <c r="Y13" s="34"/>
      <c r="Z13" s="34"/>
    </row>
    <row r="14" spans="2:27" x14ac:dyDescent="0.2">
      <c r="B14" s="37"/>
      <c r="C14" s="34"/>
      <c r="D14" s="74" t="s">
        <v>1</v>
      </c>
      <c r="E14" s="74"/>
      <c r="F14" s="74"/>
      <c r="G14" s="74"/>
      <c r="H14" s="74"/>
      <c r="I14" s="35"/>
      <c r="J14" s="34"/>
      <c r="K14" s="37"/>
      <c r="L14" s="34"/>
      <c r="M14" s="74" t="s">
        <v>4</v>
      </c>
      <c r="N14" s="74"/>
      <c r="O14" s="74"/>
      <c r="P14" s="74"/>
      <c r="Q14" s="74"/>
      <c r="R14" s="35"/>
      <c r="S14" s="34"/>
      <c r="T14" s="37"/>
      <c r="U14" s="34"/>
      <c r="V14" s="74" t="s">
        <v>5</v>
      </c>
      <c r="W14" s="74"/>
      <c r="X14" s="74"/>
      <c r="Y14" s="74"/>
      <c r="Z14" s="74"/>
    </row>
    <row r="15" spans="2:27" x14ac:dyDescent="0.2">
      <c r="B15" s="37"/>
      <c r="C15" s="37">
        <f>'Sugarcane Aphid Analysis'!E28</f>
        <v>55</v>
      </c>
      <c r="D15" s="37">
        <f>'Sugarcane Aphid Analysis'!F28</f>
        <v>60</v>
      </c>
      <c r="E15" s="37">
        <f>'Sugarcane Aphid Analysis'!G28</f>
        <v>65</v>
      </c>
      <c r="F15" s="37">
        <f>'Sugarcane Aphid Analysis'!H28</f>
        <v>70</v>
      </c>
      <c r="G15" s="37">
        <f>'Sugarcane Aphid Analysis'!I28</f>
        <v>75</v>
      </c>
      <c r="H15" s="37">
        <f>'Sugarcane Aphid Analysis'!J28</f>
        <v>80</v>
      </c>
      <c r="I15" s="37">
        <f>'Sugarcane Aphid Analysis'!K28</f>
        <v>85</v>
      </c>
      <c r="J15" s="34"/>
      <c r="K15" s="37"/>
      <c r="L15" s="37">
        <f>'Sugarcane Aphid Analysis'!E28</f>
        <v>55</v>
      </c>
      <c r="M15" s="37">
        <f>'Sugarcane Aphid Analysis'!F28</f>
        <v>60</v>
      </c>
      <c r="N15" s="37">
        <f>'Sugarcane Aphid Analysis'!G28</f>
        <v>65</v>
      </c>
      <c r="O15" s="37">
        <f>'Sugarcane Aphid Analysis'!H28</f>
        <v>70</v>
      </c>
      <c r="P15" s="37">
        <f>'Sugarcane Aphid Analysis'!I28</f>
        <v>75</v>
      </c>
      <c r="Q15" s="37">
        <f>'Sugarcane Aphid Analysis'!J28</f>
        <v>80</v>
      </c>
      <c r="R15" s="37">
        <f>'Sugarcane Aphid Analysis'!K28</f>
        <v>85</v>
      </c>
      <c r="S15" s="34"/>
      <c r="T15" s="37"/>
      <c r="U15" s="37">
        <f>'Sugarcane Aphid Analysis'!E28</f>
        <v>55</v>
      </c>
      <c r="V15" s="37">
        <f>'Sugarcane Aphid Analysis'!F28</f>
        <v>60</v>
      </c>
      <c r="W15" s="37">
        <f>'Sugarcane Aphid Analysis'!G28</f>
        <v>65</v>
      </c>
      <c r="X15" s="37">
        <f>'Sugarcane Aphid Analysis'!H28</f>
        <v>70</v>
      </c>
      <c r="Y15" s="37">
        <f>'Sugarcane Aphid Analysis'!I28</f>
        <v>75</v>
      </c>
      <c r="Z15" s="37">
        <f>'Sugarcane Aphid Analysis'!J28</f>
        <v>80</v>
      </c>
      <c r="AA15" s="37">
        <f>'Sugarcane Aphid Analysis'!K28</f>
        <v>85</v>
      </c>
    </row>
    <row r="16" spans="2:27" x14ac:dyDescent="0.2">
      <c r="B16" s="38">
        <v>25</v>
      </c>
      <c r="C16" s="39">
        <f>'Sugarcane Aphid Analysis'!$H$14*Analysis!U16</f>
        <v>201.796875</v>
      </c>
      <c r="D16" s="39">
        <f>'Sugarcane Aphid Analysis'!$H$14*Analysis!V16</f>
        <v>220.546875</v>
      </c>
      <c r="E16" s="39">
        <f>'Sugarcane Aphid Analysis'!$H$14*Analysis!W16</f>
        <v>239.296875</v>
      </c>
      <c r="F16" s="39">
        <f>'Sugarcane Aphid Analysis'!$H$14*Analysis!X16</f>
        <v>258.046875</v>
      </c>
      <c r="G16" s="39">
        <f>'Sugarcane Aphid Analysis'!$H$14*Analysis!Y16</f>
        <v>276.796875</v>
      </c>
      <c r="H16" s="39">
        <f>'Sugarcane Aphid Analysis'!$H$14*Analysis!Z16</f>
        <v>295.546875</v>
      </c>
      <c r="I16" s="39">
        <f>'Sugarcane Aphid Analysis'!$H$14*Analysis!AA16</f>
        <v>314.296875</v>
      </c>
      <c r="J16" s="34"/>
      <c r="K16" s="38">
        <v>25</v>
      </c>
      <c r="L16" s="39">
        <f>('Sugarcane Aphid Analysis'!$H$16*Analysis!U16)*1.15+('Sugarcane Aphid Analysis'!$H$18*Analysis!U16)</f>
        <v>28.090125</v>
      </c>
      <c r="M16" s="39">
        <f>('Sugarcane Aphid Analysis'!$H$16*Analysis!V16)*1.15+('Sugarcane Aphid Analysis'!$H$18*Analysis!V16)</f>
        <v>30.700125</v>
      </c>
      <c r="N16" s="39">
        <f>('Sugarcane Aphid Analysis'!$H$16*Analysis!W16)*1.15+('Sugarcane Aphid Analysis'!$H$18*Analysis!W16)</f>
        <v>33.310125000000006</v>
      </c>
      <c r="O16" s="39">
        <f>('Sugarcane Aphid Analysis'!$H$16*Analysis!X16)*1.15+('Sugarcane Aphid Analysis'!$H$18*Analysis!X16)</f>
        <v>35.920124999999999</v>
      </c>
      <c r="P16" s="39">
        <f>('Sugarcane Aphid Analysis'!$H$16*Analysis!Y16)*1.15+('Sugarcane Aphid Analysis'!$H$18*Analysis!Y16)</f>
        <v>38.530124999999998</v>
      </c>
      <c r="Q16" s="39">
        <f>('Sugarcane Aphid Analysis'!$H$16*Analysis!Z16)*1.15+('Sugarcane Aphid Analysis'!$H$18*Analysis!Z16)</f>
        <v>41.140125000000005</v>
      </c>
      <c r="R16" s="39">
        <f>('Sugarcane Aphid Analysis'!$H$16*Analysis!AA16)*1.15+('Sugarcane Aphid Analysis'!$H$18*Analysis!AA16)</f>
        <v>43.750124999999997</v>
      </c>
      <c r="S16" s="34"/>
      <c r="T16" s="38">
        <v>25</v>
      </c>
      <c r="U16" s="40">
        <f>U$15-(($T16/100)*('Sugarcane Aphid Analysis'!$H$20/0.7))</f>
        <v>53.8125</v>
      </c>
      <c r="V16" s="40">
        <f>V$15-(($T16/100)*('Sugarcane Aphid Analysis'!$H$20/0.7))</f>
        <v>58.8125</v>
      </c>
      <c r="W16" s="40">
        <f>W$15-(($T16/100)*('Sugarcane Aphid Analysis'!$H$20/0.7))</f>
        <v>63.8125</v>
      </c>
      <c r="X16" s="40">
        <f>X$15-(($T16/100)*('Sugarcane Aphid Analysis'!$H$20/0.7))</f>
        <v>68.8125</v>
      </c>
      <c r="Y16" s="40">
        <f>Y$15-(($T16/100)*('Sugarcane Aphid Analysis'!$H$20/0.7))</f>
        <v>73.8125</v>
      </c>
      <c r="Z16" s="40">
        <f>Z$15-(($T16/100)*('Sugarcane Aphid Analysis'!$H$20/0.7))</f>
        <v>78.8125</v>
      </c>
      <c r="AA16" s="40">
        <f>AA$15-(($T16/100)*('Sugarcane Aphid Analysis'!$H$20/0.7))</f>
        <v>83.8125</v>
      </c>
    </row>
    <row r="17" spans="2:27" x14ac:dyDescent="0.2">
      <c r="B17" s="38">
        <v>50</v>
      </c>
      <c r="C17" s="39">
        <f>'Sugarcane Aphid Analysis'!$H$14*Analysis!U17</f>
        <v>197.34375</v>
      </c>
      <c r="D17" s="39">
        <f>'Sugarcane Aphid Analysis'!$H$14*Analysis!V17</f>
        <v>216.09375</v>
      </c>
      <c r="E17" s="39">
        <f>'Sugarcane Aphid Analysis'!$H$14*Analysis!W17</f>
        <v>234.84375</v>
      </c>
      <c r="F17" s="39">
        <f>'Sugarcane Aphid Analysis'!$H$14*Analysis!X17</f>
        <v>253.59375</v>
      </c>
      <c r="G17" s="39">
        <f>'Sugarcane Aphid Analysis'!$H$14*Analysis!Y17</f>
        <v>272.34375</v>
      </c>
      <c r="H17" s="39">
        <f>'Sugarcane Aphid Analysis'!$H$14*Analysis!Z17</f>
        <v>291.09375</v>
      </c>
      <c r="I17" s="39">
        <f>'Sugarcane Aphid Analysis'!$H$14*Analysis!AA17</f>
        <v>309.84375</v>
      </c>
      <c r="J17" s="34"/>
      <c r="K17" s="38">
        <v>50</v>
      </c>
      <c r="L17" s="39">
        <f>('Sugarcane Aphid Analysis'!$H$16*Analysis!U17)*1.15+('Sugarcane Aphid Analysis'!$H$18*Analysis!U17)</f>
        <v>27.47025</v>
      </c>
      <c r="M17" s="39">
        <f>('Sugarcane Aphid Analysis'!$H$16*Analysis!V17)*1.15+('Sugarcane Aphid Analysis'!$H$18*Analysis!V17)</f>
        <v>30.080249999999999</v>
      </c>
      <c r="N17" s="39">
        <f>('Sugarcane Aphid Analysis'!$H$16*Analysis!W17)*1.15+('Sugarcane Aphid Analysis'!$H$18*Analysis!W17)</f>
        <v>32.690249999999999</v>
      </c>
      <c r="O17" s="39">
        <f>('Sugarcane Aphid Analysis'!$H$16*Analysis!X17)*1.15+('Sugarcane Aphid Analysis'!$H$18*Analysis!X17)</f>
        <v>35.300249999999998</v>
      </c>
      <c r="P17" s="39">
        <f>('Sugarcane Aphid Analysis'!$H$16*Analysis!Y17)*1.15+('Sugarcane Aphid Analysis'!$H$18*Analysis!Y17)</f>
        <v>37.910249999999998</v>
      </c>
      <c r="Q17" s="39">
        <f>('Sugarcane Aphid Analysis'!$H$16*Analysis!Z17)*1.15+('Sugarcane Aphid Analysis'!$H$18*Analysis!Z17)</f>
        <v>40.520250000000004</v>
      </c>
      <c r="R17" s="39">
        <f>('Sugarcane Aphid Analysis'!$H$16*Analysis!AA17)*1.15+('Sugarcane Aphid Analysis'!$H$18*Analysis!AA17)</f>
        <v>43.130250000000004</v>
      </c>
      <c r="S17" s="34"/>
      <c r="T17" s="38">
        <v>50</v>
      </c>
      <c r="U17" s="40">
        <f>U$15-(($T17/100)*('Sugarcane Aphid Analysis'!$H$20/0.7))</f>
        <v>52.625</v>
      </c>
      <c r="V17" s="40">
        <f>V$15-(($T17/100)*('Sugarcane Aphid Analysis'!$H$20/0.7))</f>
        <v>57.625</v>
      </c>
      <c r="W17" s="40">
        <f>W$15-(($T17/100)*('Sugarcane Aphid Analysis'!$H$20/0.7))</f>
        <v>62.625</v>
      </c>
      <c r="X17" s="40">
        <f>X$15-(($T17/100)*('Sugarcane Aphid Analysis'!$H$20/0.7))</f>
        <v>67.625</v>
      </c>
      <c r="Y17" s="40">
        <f>Y$15-(($T17/100)*('Sugarcane Aphid Analysis'!$H$20/0.7))</f>
        <v>72.625</v>
      </c>
      <c r="Z17" s="40">
        <f>Z$15-(($T17/100)*('Sugarcane Aphid Analysis'!$H$20/0.7))</f>
        <v>77.625</v>
      </c>
      <c r="AA17" s="40">
        <f>AA$15-(($T17/100)*('Sugarcane Aphid Analysis'!$H$20/0.7))</f>
        <v>82.625</v>
      </c>
    </row>
    <row r="18" spans="2:27" x14ac:dyDescent="0.2">
      <c r="B18" s="38">
        <v>75</v>
      </c>
      <c r="C18" s="39">
        <f>'Sugarcane Aphid Analysis'!$H$14*Analysis!U18</f>
        <v>192.890625</v>
      </c>
      <c r="D18" s="39">
        <f>'Sugarcane Aphid Analysis'!$H$14*Analysis!V18</f>
        <v>211.640625</v>
      </c>
      <c r="E18" s="39">
        <f>'Sugarcane Aphid Analysis'!$H$14*Analysis!W18</f>
        <v>230.390625</v>
      </c>
      <c r="F18" s="39">
        <f>'Sugarcane Aphid Analysis'!$H$14*Analysis!X18</f>
        <v>249.140625</v>
      </c>
      <c r="G18" s="39">
        <f>'Sugarcane Aphid Analysis'!$H$14*Analysis!Y18</f>
        <v>267.890625</v>
      </c>
      <c r="H18" s="39">
        <f>'Sugarcane Aphid Analysis'!$H$14*Analysis!Z18</f>
        <v>286.640625</v>
      </c>
      <c r="I18" s="39">
        <f>'Sugarcane Aphid Analysis'!$H$14*Analysis!AA18</f>
        <v>305.390625</v>
      </c>
      <c r="J18" s="34"/>
      <c r="K18" s="38">
        <v>75</v>
      </c>
      <c r="L18" s="39">
        <f>('Sugarcane Aphid Analysis'!$H$16*Analysis!U18)*1.15+('Sugarcane Aphid Analysis'!$H$18*Analysis!U18)</f>
        <v>26.850375000000003</v>
      </c>
      <c r="M18" s="39">
        <f>('Sugarcane Aphid Analysis'!$H$16*Analysis!V18)*1.15+('Sugarcane Aphid Analysis'!$H$18*Analysis!V18)</f>
        <v>29.460375000000003</v>
      </c>
      <c r="N18" s="39">
        <f>('Sugarcane Aphid Analysis'!$H$16*Analysis!W18)*1.15+('Sugarcane Aphid Analysis'!$H$18*Analysis!W18)</f>
        <v>32.070374999999999</v>
      </c>
      <c r="O18" s="39">
        <f>('Sugarcane Aphid Analysis'!$H$16*Analysis!X18)*1.15+('Sugarcane Aphid Analysis'!$H$18*Analysis!X18)</f>
        <v>34.680374999999998</v>
      </c>
      <c r="P18" s="39">
        <f>('Sugarcane Aphid Analysis'!$H$16*Analysis!Y18)*1.15+('Sugarcane Aphid Analysis'!$H$18*Analysis!Y18)</f>
        <v>37.290374999999997</v>
      </c>
      <c r="Q18" s="39">
        <f>('Sugarcane Aphid Analysis'!$H$16*Analysis!Z18)*1.15+('Sugarcane Aphid Analysis'!$H$18*Analysis!Z18)</f>
        <v>39.900375000000004</v>
      </c>
      <c r="R18" s="39">
        <f>('Sugarcane Aphid Analysis'!$H$16*Analysis!AA18)*1.15+('Sugarcane Aphid Analysis'!$H$18*Analysis!AA18)</f>
        <v>42.510375000000003</v>
      </c>
      <c r="S18" s="34"/>
      <c r="T18" s="38">
        <v>75</v>
      </c>
      <c r="U18" s="40">
        <f>U$15-(($T18/100)*('Sugarcane Aphid Analysis'!$H$20/0.7))</f>
        <v>51.4375</v>
      </c>
      <c r="V18" s="40">
        <f>V$15-(($T18/100)*('Sugarcane Aphid Analysis'!$H$20/0.7))</f>
        <v>56.4375</v>
      </c>
      <c r="W18" s="40">
        <f>W$15-(($T18/100)*('Sugarcane Aphid Analysis'!$H$20/0.7))</f>
        <v>61.4375</v>
      </c>
      <c r="X18" s="40">
        <f>X$15-(($T18/100)*('Sugarcane Aphid Analysis'!$H$20/0.7))</f>
        <v>66.4375</v>
      </c>
      <c r="Y18" s="40">
        <f>Y$15-(($T18/100)*('Sugarcane Aphid Analysis'!$H$20/0.7))</f>
        <v>71.4375</v>
      </c>
      <c r="Z18" s="40">
        <f>Z$15-(($T18/100)*('Sugarcane Aphid Analysis'!$H$20/0.7))</f>
        <v>76.4375</v>
      </c>
      <c r="AA18" s="40">
        <f>AA$15-(($T18/100)*('Sugarcane Aphid Analysis'!$H$20/0.7))</f>
        <v>81.4375</v>
      </c>
    </row>
    <row r="19" spans="2:27" x14ac:dyDescent="0.2">
      <c r="B19" s="38">
        <v>100</v>
      </c>
      <c r="C19" s="39">
        <f>'Sugarcane Aphid Analysis'!$H$14*Analysis!U19</f>
        <v>188.4375</v>
      </c>
      <c r="D19" s="39">
        <f>'Sugarcane Aphid Analysis'!$H$14*Analysis!V19</f>
        <v>207.1875</v>
      </c>
      <c r="E19" s="39">
        <f>'Sugarcane Aphid Analysis'!$H$14*Analysis!W19</f>
        <v>225.9375</v>
      </c>
      <c r="F19" s="39">
        <f>'Sugarcane Aphid Analysis'!$H$14*Analysis!X19</f>
        <v>244.6875</v>
      </c>
      <c r="G19" s="39">
        <f>'Sugarcane Aphid Analysis'!$H$14*Analysis!Y19</f>
        <v>263.4375</v>
      </c>
      <c r="H19" s="39">
        <f>'Sugarcane Aphid Analysis'!$H$14*Analysis!Z19</f>
        <v>282.1875</v>
      </c>
      <c r="I19" s="39">
        <f>'Sugarcane Aphid Analysis'!$H$14*Analysis!AA19</f>
        <v>300.9375</v>
      </c>
      <c r="J19" s="34"/>
      <c r="K19" s="38">
        <v>100</v>
      </c>
      <c r="L19" s="39">
        <f>('Sugarcane Aphid Analysis'!$H$16*Analysis!U19)*1.15+('Sugarcane Aphid Analysis'!$H$18*Analysis!U19)</f>
        <v>26.230500000000003</v>
      </c>
      <c r="M19" s="39">
        <f>('Sugarcane Aphid Analysis'!$H$16*Analysis!V19)*1.15+('Sugarcane Aphid Analysis'!$H$18*Analysis!V19)</f>
        <v>28.840499999999999</v>
      </c>
      <c r="N19" s="39">
        <f>('Sugarcane Aphid Analysis'!$H$16*Analysis!W19)*1.15+('Sugarcane Aphid Analysis'!$H$18*Analysis!W19)</f>
        <v>31.450500000000002</v>
      </c>
      <c r="O19" s="39">
        <f>('Sugarcane Aphid Analysis'!$H$16*Analysis!X19)*1.15+('Sugarcane Aphid Analysis'!$H$18*Analysis!X19)</f>
        <v>34.060500000000005</v>
      </c>
      <c r="P19" s="39">
        <f>('Sugarcane Aphid Analysis'!$H$16*Analysis!Y19)*1.15+('Sugarcane Aphid Analysis'!$H$18*Analysis!Y19)</f>
        <v>36.670500000000004</v>
      </c>
      <c r="Q19" s="39">
        <f>('Sugarcane Aphid Analysis'!$H$16*Analysis!Z19)*1.15+('Sugarcane Aphid Analysis'!$H$18*Analysis!Z19)</f>
        <v>39.280500000000004</v>
      </c>
      <c r="R19" s="39">
        <f>('Sugarcane Aphid Analysis'!$H$16*Analysis!AA19)*1.15+('Sugarcane Aphid Analysis'!$H$18*Analysis!AA19)</f>
        <v>41.890500000000003</v>
      </c>
      <c r="S19" s="34"/>
      <c r="T19" s="38">
        <v>100</v>
      </c>
      <c r="U19" s="40">
        <f>U$15-(($T19/100)*('Sugarcane Aphid Analysis'!$H$20/0.7))</f>
        <v>50.25</v>
      </c>
      <c r="V19" s="40">
        <f>V$15-(($T19/100)*('Sugarcane Aphid Analysis'!$H$20/0.7))</f>
        <v>55.25</v>
      </c>
      <c r="W19" s="40">
        <f>W$15-(($T19/100)*('Sugarcane Aphid Analysis'!$H$20/0.7))</f>
        <v>60.25</v>
      </c>
      <c r="X19" s="40">
        <f>X$15-(($T19/100)*('Sugarcane Aphid Analysis'!$H$20/0.7))</f>
        <v>65.25</v>
      </c>
      <c r="Y19" s="40">
        <f>Y$15-(($T19/100)*('Sugarcane Aphid Analysis'!$H$20/0.7))</f>
        <v>70.25</v>
      </c>
      <c r="Z19" s="40">
        <f>Z$15-(($T19/100)*('Sugarcane Aphid Analysis'!$H$20/0.7))</f>
        <v>75.25</v>
      </c>
      <c r="AA19" s="40">
        <f>AA$15-(($T19/100)*('Sugarcane Aphid Analysis'!$H$20/0.7))</f>
        <v>80.25</v>
      </c>
    </row>
    <row r="20" spans="2:27" x14ac:dyDescent="0.2">
      <c r="B20" s="38">
        <v>125</v>
      </c>
      <c r="C20" s="39">
        <f>'Sugarcane Aphid Analysis'!$H$14*Analysis!U20</f>
        <v>183.984375</v>
      </c>
      <c r="D20" s="39">
        <f>'Sugarcane Aphid Analysis'!$H$14*Analysis!V20</f>
        <v>202.734375</v>
      </c>
      <c r="E20" s="39">
        <f>'Sugarcane Aphid Analysis'!$H$14*Analysis!W20</f>
        <v>221.484375</v>
      </c>
      <c r="F20" s="39">
        <f>'Sugarcane Aphid Analysis'!$H$14*Analysis!X20</f>
        <v>240.234375</v>
      </c>
      <c r="G20" s="39">
        <f>'Sugarcane Aphid Analysis'!$H$14*Analysis!Y20</f>
        <v>258.984375</v>
      </c>
      <c r="H20" s="39">
        <f>'Sugarcane Aphid Analysis'!$H$14*Analysis!Z20</f>
        <v>277.734375</v>
      </c>
      <c r="I20" s="39">
        <f>'Sugarcane Aphid Analysis'!$H$14*Analysis!AA20</f>
        <v>296.484375</v>
      </c>
      <c r="J20" s="34"/>
      <c r="K20" s="38">
        <v>125</v>
      </c>
      <c r="L20" s="39">
        <f>('Sugarcane Aphid Analysis'!$H$16*Analysis!U20)*1.15+('Sugarcane Aphid Analysis'!$H$18*Analysis!U20)</f>
        <v>25.610624999999999</v>
      </c>
      <c r="M20" s="39">
        <f>('Sugarcane Aphid Analysis'!$H$16*Analysis!V20)*1.15+('Sugarcane Aphid Analysis'!$H$18*Analysis!V20)</f>
        <v>28.220624999999998</v>
      </c>
      <c r="N20" s="39">
        <f>('Sugarcane Aphid Analysis'!$H$16*Analysis!W20)*1.15+('Sugarcane Aphid Analysis'!$H$18*Analysis!W20)</f>
        <v>30.830625000000001</v>
      </c>
      <c r="O20" s="39">
        <f>('Sugarcane Aphid Analysis'!$H$16*Analysis!X20)*1.15+('Sugarcane Aphid Analysis'!$H$18*Analysis!X20)</f>
        <v>33.440624999999997</v>
      </c>
      <c r="P20" s="39">
        <f>('Sugarcane Aphid Analysis'!$H$16*Analysis!Y20)*1.15+('Sugarcane Aphid Analysis'!$H$18*Analysis!Y20)</f>
        <v>36.050624999999997</v>
      </c>
      <c r="Q20" s="39">
        <f>('Sugarcane Aphid Analysis'!$H$16*Analysis!Z20)*1.15+('Sugarcane Aphid Analysis'!$H$18*Analysis!Z20)</f>
        <v>38.660624999999996</v>
      </c>
      <c r="R20" s="39">
        <f>('Sugarcane Aphid Analysis'!$H$16*Analysis!AA20)*1.15+('Sugarcane Aphid Analysis'!$H$18*Analysis!AA20)</f>
        <v>41.270625000000003</v>
      </c>
      <c r="S20" s="34"/>
      <c r="T20" s="38">
        <v>125</v>
      </c>
      <c r="U20" s="40">
        <f>U$15-(($T20/100)*('Sugarcane Aphid Analysis'!$H$20/0.7))</f>
        <v>49.0625</v>
      </c>
      <c r="V20" s="40">
        <f>V$15-(($T20/100)*('Sugarcane Aphid Analysis'!$H$20/0.7))</f>
        <v>54.0625</v>
      </c>
      <c r="W20" s="40">
        <f>W$15-(($T20/100)*('Sugarcane Aphid Analysis'!$H$20/0.7))</f>
        <v>59.0625</v>
      </c>
      <c r="X20" s="40">
        <f>X$15-(($T20/100)*('Sugarcane Aphid Analysis'!$H$20/0.7))</f>
        <v>64.0625</v>
      </c>
      <c r="Y20" s="40">
        <f>Y$15-(($T20/100)*('Sugarcane Aphid Analysis'!$H$20/0.7))</f>
        <v>69.0625</v>
      </c>
      <c r="Z20" s="40">
        <f>Z$15-(($T20/100)*('Sugarcane Aphid Analysis'!$H$20/0.7))</f>
        <v>74.0625</v>
      </c>
      <c r="AA20" s="40">
        <f>AA$15-(($T20/100)*('Sugarcane Aphid Analysis'!$H$20/0.7))</f>
        <v>79.0625</v>
      </c>
    </row>
    <row r="21" spans="2:27" x14ac:dyDescent="0.2">
      <c r="B21" s="38">
        <v>150</v>
      </c>
      <c r="C21" s="39">
        <f>'Sugarcane Aphid Analysis'!$H$14*Analysis!U21</f>
        <v>179.53125</v>
      </c>
      <c r="D21" s="39">
        <f>'Sugarcane Aphid Analysis'!$H$14*Analysis!V21</f>
        <v>198.28125</v>
      </c>
      <c r="E21" s="39">
        <f>'Sugarcane Aphid Analysis'!$H$14*Analysis!W21</f>
        <v>217.03125</v>
      </c>
      <c r="F21" s="39">
        <f>'Sugarcane Aphid Analysis'!$H$14*Analysis!X21</f>
        <v>235.78125</v>
      </c>
      <c r="G21" s="39">
        <f>'Sugarcane Aphid Analysis'!$H$14*Analysis!Y21</f>
        <v>254.53125</v>
      </c>
      <c r="H21" s="39">
        <f>'Sugarcane Aphid Analysis'!$H$14*Analysis!Z21</f>
        <v>273.28125</v>
      </c>
      <c r="I21" s="39">
        <f>'Sugarcane Aphid Analysis'!$H$14*Analysis!AA21</f>
        <v>292.03125</v>
      </c>
      <c r="J21" s="34"/>
      <c r="K21" s="38">
        <v>150</v>
      </c>
      <c r="L21" s="39">
        <f>('Sugarcane Aphid Analysis'!$H$16*Analysis!U21)*1.15+('Sugarcane Aphid Analysis'!$H$18*Analysis!U21)</f>
        <v>24.990750000000002</v>
      </c>
      <c r="M21" s="39">
        <f>('Sugarcane Aphid Analysis'!$H$16*Analysis!V21)*1.15+('Sugarcane Aphid Analysis'!$H$18*Analysis!V21)</f>
        <v>27.600750000000005</v>
      </c>
      <c r="N21" s="39">
        <f>('Sugarcane Aphid Analysis'!$H$16*Analysis!W21)*1.15+('Sugarcane Aphid Analysis'!$H$18*Analysis!W21)</f>
        <v>30.210750000000004</v>
      </c>
      <c r="O21" s="39">
        <f>('Sugarcane Aphid Analysis'!$H$16*Analysis!X21)*1.15+('Sugarcane Aphid Analysis'!$H$18*Analysis!X21)</f>
        <v>32.820749999999997</v>
      </c>
      <c r="P21" s="39">
        <f>('Sugarcane Aphid Analysis'!$H$16*Analysis!Y21)*1.15+('Sugarcane Aphid Analysis'!$H$18*Analysis!Y21)</f>
        <v>35.430750000000003</v>
      </c>
      <c r="Q21" s="39">
        <f>('Sugarcane Aphid Analysis'!$H$16*Analysis!Z21)*1.15+('Sugarcane Aphid Analysis'!$H$18*Analysis!Z21)</f>
        <v>38.040750000000003</v>
      </c>
      <c r="R21" s="39">
        <f>('Sugarcane Aphid Analysis'!$H$16*Analysis!AA21)*1.15+('Sugarcane Aphid Analysis'!$H$18*Analysis!AA21)</f>
        <v>40.650750000000002</v>
      </c>
      <c r="S21" s="34"/>
      <c r="T21" s="38">
        <v>150</v>
      </c>
      <c r="U21" s="40">
        <f>U$15-(($T21/100)*('Sugarcane Aphid Analysis'!$H$20/0.7))</f>
        <v>47.875</v>
      </c>
      <c r="V21" s="40">
        <f>V$15-(($T21/100)*('Sugarcane Aphid Analysis'!$H$20/0.7))</f>
        <v>52.875</v>
      </c>
      <c r="W21" s="40">
        <f>W$15-(($T21/100)*('Sugarcane Aphid Analysis'!$H$20/0.7))</f>
        <v>57.875</v>
      </c>
      <c r="X21" s="40">
        <f>X$15-(($T21/100)*('Sugarcane Aphid Analysis'!$H$20/0.7))</f>
        <v>62.875</v>
      </c>
      <c r="Y21" s="40">
        <f>Y$15-(($T21/100)*('Sugarcane Aphid Analysis'!$H$20/0.7))</f>
        <v>67.875</v>
      </c>
      <c r="Z21" s="40">
        <f>Z$15-(($T21/100)*('Sugarcane Aphid Analysis'!$H$20/0.7))</f>
        <v>72.875</v>
      </c>
      <c r="AA21" s="40">
        <f>AA$15-(($T21/100)*('Sugarcane Aphid Analysis'!$H$20/0.7))</f>
        <v>77.875</v>
      </c>
    </row>
    <row r="22" spans="2:27" x14ac:dyDescent="0.2">
      <c r="B22" s="38">
        <v>175</v>
      </c>
      <c r="C22" s="39">
        <f>'Sugarcane Aphid Analysis'!$H$14*Analysis!U22</f>
        <v>175.078125</v>
      </c>
      <c r="D22" s="39">
        <f>'Sugarcane Aphid Analysis'!$H$14*Analysis!V22</f>
        <v>193.828125</v>
      </c>
      <c r="E22" s="39">
        <f>'Sugarcane Aphid Analysis'!$H$14*Analysis!W22</f>
        <v>212.578125</v>
      </c>
      <c r="F22" s="39">
        <f>'Sugarcane Aphid Analysis'!$H$14*Analysis!X22</f>
        <v>231.328125</v>
      </c>
      <c r="G22" s="39">
        <f>'Sugarcane Aphid Analysis'!$H$14*Analysis!Y22</f>
        <v>250.078125</v>
      </c>
      <c r="H22" s="39">
        <f>'Sugarcane Aphid Analysis'!$H$14*Analysis!Z22</f>
        <v>268.828125</v>
      </c>
      <c r="I22" s="39">
        <f>'Sugarcane Aphid Analysis'!$H$14*Analysis!AA22</f>
        <v>287.578125</v>
      </c>
      <c r="J22" s="34"/>
      <c r="K22" s="38">
        <v>175</v>
      </c>
      <c r="L22" s="39">
        <f>('Sugarcane Aphid Analysis'!$H$16*Analysis!U22)*1.15+('Sugarcane Aphid Analysis'!$H$18*Analysis!U22)</f>
        <v>24.370875000000002</v>
      </c>
      <c r="M22" s="39">
        <f>('Sugarcane Aphid Analysis'!$H$16*Analysis!V22)*1.15+('Sugarcane Aphid Analysis'!$H$18*Analysis!V22)</f>
        <v>26.980875000000005</v>
      </c>
      <c r="N22" s="39">
        <f>('Sugarcane Aphid Analysis'!$H$16*Analysis!W22)*1.15+('Sugarcane Aphid Analysis'!$H$18*Analysis!W22)</f>
        <v>29.590875000000004</v>
      </c>
      <c r="O22" s="39">
        <f>('Sugarcane Aphid Analysis'!$H$16*Analysis!X22)*1.15+('Sugarcane Aphid Analysis'!$H$18*Analysis!X22)</f>
        <v>32.200874999999996</v>
      </c>
      <c r="P22" s="39">
        <f>('Sugarcane Aphid Analysis'!$H$16*Analysis!Y22)*1.15+('Sugarcane Aphid Analysis'!$H$18*Analysis!Y22)</f>
        <v>34.810875000000003</v>
      </c>
      <c r="Q22" s="39">
        <f>('Sugarcane Aphid Analysis'!$H$16*Analysis!Z22)*1.15+('Sugarcane Aphid Analysis'!$H$18*Analysis!Z22)</f>
        <v>37.420875000000002</v>
      </c>
      <c r="R22" s="39">
        <f>('Sugarcane Aphid Analysis'!$H$16*Analysis!AA22)*1.15+('Sugarcane Aphid Analysis'!$H$18*Analysis!AA22)</f>
        <v>40.030875000000002</v>
      </c>
      <c r="S22" s="34"/>
      <c r="T22" s="38">
        <v>175</v>
      </c>
      <c r="U22" s="40">
        <f>U$15-(($T22/100)*('Sugarcane Aphid Analysis'!$H$20/0.7))</f>
        <v>46.6875</v>
      </c>
      <c r="V22" s="40">
        <f>V$15-(($T22/100)*('Sugarcane Aphid Analysis'!$H$20/0.7))</f>
        <v>51.6875</v>
      </c>
      <c r="W22" s="40">
        <f>W$15-(($T22/100)*('Sugarcane Aphid Analysis'!$H$20/0.7))</f>
        <v>56.6875</v>
      </c>
      <c r="X22" s="40">
        <f>X$15-(($T22/100)*('Sugarcane Aphid Analysis'!$H$20/0.7))</f>
        <v>61.6875</v>
      </c>
      <c r="Y22" s="40">
        <f>Y$15-(($T22/100)*('Sugarcane Aphid Analysis'!$H$20/0.7))</f>
        <v>66.6875</v>
      </c>
      <c r="Z22" s="40">
        <f>Z$15-(($T22/100)*('Sugarcane Aphid Analysis'!$H$20/0.7))</f>
        <v>71.6875</v>
      </c>
      <c r="AA22" s="40">
        <f>AA$15-(($T22/100)*('Sugarcane Aphid Analysis'!$H$20/0.7))</f>
        <v>76.6875</v>
      </c>
    </row>
    <row r="23" spans="2:27" x14ac:dyDescent="0.2"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</sheetData>
  <mergeCells count="6">
    <mergeCell ref="D4:H4"/>
    <mergeCell ref="D14:H14"/>
    <mergeCell ref="M4:Q4"/>
    <mergeCell ref="M14:Q14"/>
    <mergeCell ref="V14:Z14"/>
    <mergeCell ref="V4:Z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8"/>
  <sheetViews>
    <sheetView workbookViewId="0">
      <selection activeCell="M28" sqref="M28"/>
    </sheetView>
  </sheetViews>
  <sheetFormatPr defaultRowHeight="12.75" x14ac:dyDescent="0.2"/>
  <cols>
    <col min="1" max="1" width="37.85546875" customWidth="1"/>
    <col min="2" max="2" width="11.85546875" customWidth="1"/>
    <col min="3" max="3" width="1.28515625" customWidth="1"/>
    <col min="4" max="4" width="13.28515625" customWidth="1"/>
    <col min="5" max="5" width="13.7109375" customWidth="1"/>
  </cols>
  <sheetData>
    <row r="1" spans="2:8" ht="14.45" customHeight="1" x14ac:dyDescent="0.2">
      <c r="D1" s="75" t="s">
        <v>12</v>
      </c>
      <c r="E1" s="75" t="s">
        <v>13</v>
      </c>
      <c r="G1" s="75" t="s">
        <v>15</v>
      </c>
      <c r="H1" s="75" t="s">
        <v>16</v>
      </c>
    </row>
    <row r="2" spans="2:8" ht="25.5" x14ac:dyDescent="0.2">
      <c r="B2" s="27" t="s">
        <v>11</v>
      </c>
      <c r="D2" s="76"/>
      <c r="E2" s="77"/>
      <c r="G2" s="77"/>
      <c r="H2" s="77"/>
    </row>
    <row r="3" spans="2:8" ht="15" x14ac:dyDescent="0.25">
      <c r="B3">
        <v>400</v>
      </c>
      <c r="D3" s="30">
        <v>700</v>
      </c>
      <c r="E3" s="29"/>
      <c r="G3" s="29"/>
      <c r="H3" s="29"/>
    </row>
    <row r="4" spans="2:8" ht="15" x14ac:dyDescent="0.25">
      <c r="B4">
        <v>3000</v>
      </c>
      <c r="D4" s="30">
        <v>300</v>
      </c>
      <c r="E4" s="29"/>
      <c r="G4" s="29"/>
      <c r="H4" s="29"/>
    </row>
    <row r="5" spans="2:8" ht="15" x14ac:dyDescent="0.25">
      <c r="B5">
        <v>400</v>
      </c>
      <c r="D5" s="30">
        <v>900</v>
      </c>
      <c r="E5" s="29"/>
      <c r="G5" s="29"/>
      <c r="H5" s="29"/>
    </row>
    <row r="6" spans="2:8" ht="15" x14ac:dyDescent="0.25">
      <c r="B6">
        <v>400</v>
      </c>
      <c r="D6" s="30">
        <v>500</v>
      </c>
      <c r="E6" s="29"/>
      <c r="G6" s="31">
        <v>0.5</v>
      </c>
      <c r="H6" s="31">
        <v>0.1</v>
      </c>
    </row>
    <row r="7" spans="2:8" ht="15" x14ac:dyDescent="0.25">
      <c r="B7">
        <v>500</v>
      </c>
      <c r="D7" s="30">
        <v>1000</v>
      </c>
      <c r="E7" s="30">
        <v>200</v>
      </c>
      <c r="G7" s="31">
        <v>1</v>
      </c>
      <c r="H7" s="31">
        <v>1</v>
      </c>
    </row>
    <row r="8" spans="2:8" ht="15" x14ac:dyDescent="0.25">
      <c r="B8">
        <v>1100</v>
      </c>
      <c r="D8" s="30">
        <v>500</v>
      </c>
      <c r="E8" s="29"/>
      <c r="G8" s="31">
        <v>0.2</v>
      </c>
      <c r="H8" s="31">
        <v>0.03</v>
      </c>
    </row>
    <row r="9" spans="2:8" ht="15" x14ac:dyDescent="0.25">
      <c r="B9">
        <v>1100</v>
      </c>
      <c r="D9" s="30">
        <v>1100</v>
      </c>
      <c r="E9" s="29"/>
      <c r="G9" s="31">
        <v>2</v>
      </c>
      <c r="H9" s="29"/>
    </row>
    <row r="10" spans="2:8" ht="15" x14ac:dyDescent="0.25">
      <c r="B10">
        <v>2500</v>
      </c>
      <c r="D10" s="30">
        <v>1500</v>
      </c>
      <c r="E10" s="30">
        <v>150</v>
      </c>
      <c r="G10" s="31">
        <v>2</v>
      </c>
      <c r="H10" s="29"/>
    </row>
    <row r="11" spans="2:8" ht="15" x14ac:dyDescent="0.25">
      <c r="B11">
        <v>2500</v>
      </c>
      <c r="D11" s="30">
        <v>1000</v>
      </c>
      <c r="E11" s="30">
        <v>150</v>
      </c>
      <c r="G11" s="31">
        <v>2.5</v>
      </c>
      <c r="H11" s="31">
        <v>4.4299999999999999E-2</v>
      </c>
    </row>
    <row r="12" spans="2:8" ht="15" x14ac:dyDescent="0.25">
      <c r="B12">
        <v>2250</v>
      </c>
      <c r="D12" s="30">
        <v>1000</v>
      </c>
      <c r="E12" s="30">
        <v>100</v>
      </c>
      <c r="G12" s="31">
        <v>1</v>
      </c>
      <c r="H12" s="31">
        <v>0.5</v>
      </c>
    </row>
    <row r="13" spans="2:8" ht="15" x14ac:dyDescent="0.25">
      <c r="B13">
        <v>400</v>
      </c>
      <c r="D13" s="30">
        <v>800</v>
      </c>
      <c r="E13" s="29"/>
      <c r="G13" s="31">
        <v>1</v>
      </c>
      <c r="H13" s="31">
        <v>1</v>
      </c>
    </row>
    <row r="14" spans="2:8" ht="15" x14ac:dyDescent="0.25">
      <c r="B14">
        <v>5800</v>
      </c>
      <c r="D14" s="30">
        <v>1000</v>
      </c>
      <c r="E14" s="30">
        <v>1000</v>
      </c>
      <c r="G14" s="31">
        <v>1</v>
      </c>
      <c r="H14" s="29"/>
    </row>
    <row r="15" spans="2:8" ht="15" x14ac:dyDescent="0.25">
      <c r="B15">
        <v>400</v>
      </c>
      <c r="D15" s="30">
        <v>2100</v>
      </c>
      <c r="E15" s="29"/>
      <c r="G15" s="31">
        <v>1</v>
      </c>
      <c r="H15" s="31">
        <v>0.3</v>
      </c>
    </row>
    <row r="16" spans="2:8" ht="15" x14ac:dyDescent="0.25">
      <c r="B16">
        <v>400</v>
      </c>
      <c r="D16" s="30">
        <v>1800</v>
      </c>
      <c r="E16" s="30">
        <v>200</v>
      </c>
      <c r="G16" s="31">
        <v>2</v>
      </c>
      <c r="H16" s="31">
        <v>0.5</v>
      </c>
    </row>
    <row r="17" spans="1:8" ht="15" x14ac:dyDescent="0.25">
      <c r="B17">
        <v>1500</v>
      </c>
      <c r="D17" s="30">
        <v>1300</v>
      </c>
      <c r="E17" s="29"/>
      <c r="G17" s="31">
        <v>0.5</v>
      </c>
      <c r="H17" s="31">
        <v>0.5</v>
      </c>
    </row>
    <row r="18" spans="1:8" ht="15" x14ac:dyDescent="0.25">
      <c r="B18">
        <v>600</v>
      </c>
      <c r="D18" s="30">
        <v>126</v>
      </c>
      <c r="E18" s="29"/>
      <c r="G18" s="31">
        <v>1</v>
      </c>
      <c r="H18" s="29"/>
    </row>
    <row r="19" spans="1:8" ht="15" x14ac:dyDescent="0.25">
      <c r="B19">
        <v>2500</v>
      </c>
      <c r="D19" s="30">
        <v>2688</v>
      </c>
      <c r="E19" s="30">
        <v>862</v>
      </c>
      <c r="G19" s="31">
        <v>1</v>
      </c>
      <c r="H19" s="31">
        <v>0.5</v>
      </c>
    </row>
    <row r="20" spans="1:8" ht="15" x14ac:dyDescent="0.25">
      <c r="B20">
        <v>1800</v>
      </c>
      <c r="D20" s="30">
        <v>200</v>
      </c>
      <c r="E20" s="30">
        <v>1500</v>
      </c>
      <c r="G20" s="31">
        <v>0.5</v>
      </c>
      <c r="H20" s="31">
        <v>0.1</v>
      </c>
    </row>
    <row r="21" spans="1:8" ht="15" x14ac:dyDescent="0.25">
      <c r="B21">
        <v>1500</v>
      </c>
      <c r="D21" s="29"/>
      <c r="E21" s="30">
        <v>2000</v>
      </c>
      <c r="G21" s="31">
        <v>0</v>
      </c>
      <c r="H21" s="31">
        <v>0</v>
      </c>
    </row>
    <row r="22" spans="1:8" ht="15" x14ac:dyDescent="0.25">
      <c r="B22">
        <v>200</v>
      </c>
      <c r="D22" s="30">
        <v>700</v>
      </c>
      <c r="E22" s="29"/>
      <c r="G22" s="29"/>
      <c r="H22" s="29"/>
    </row>
    <row r="23" spans="1:8" ht="15" x14ac:dyDescent="0.25">
      <c r="B23">
        <v>1</v>
      </c>
      <c r="D23" s="30">
        <v>410</v>
      </c>
      <c r="E23" s="29"/>
      <c r="G23" s="31">
        <v>3.5</v>
      </c>
      <c r="H23" s="29"/>
    </row>
    <row r="24" spans="1:8" ht="15" x14ac:dyDescent="0.25">
      <c r="B24">
        <v>3000</v>
      </c>
      <c r="D24" s="30">
        <v>3000</v>
      </c>
      <c r="E24" s="30">
        <v>1000</v>
      </c>
      <c r="G24" s="31">
        <v>2</v>
      </c>
      <c r="H24" s="31">
        <v>1</v>
      </c>
    </row>
    <row r="25" spans="1:8" ht="15" x14ac:dyDescent="0.25">
      <c r="B25">
        <v>2500</v>
      </c>
      <c r="D25" s="29"/>
      <c r="E25" s="30">
        <v>350</v>
      </c>
      <c r="G25" s="31">
        <v>1.43</v>
      </c>
      <c r="H25" s="31">
        <v>2.86E-2</v>
      </c>
    </row>
    <row r="26" spans="1:8" ht="15" x14ac:dyDescent="0.25">
      <c r="B26">
        <v>250</v>
      </c>
      <c r="D26" s="30">
        <v>1000</v>
      </c>
      <c r="E26" s="29"/>
      <c r="G26" s="29"/>
      <c r="H26" s="29"/>
    </row>
    <row r="27" spans="1:8" ht="15" x14ac:dyDescent="0.25">
      <c r="B27">
        <v>500</v>
      </c>
      <c r="D27" s="30">
        <v>2000</v>
      </c>
      <c r="E27" s="30">
        <v>1000</v>
      </c>
      <c r="G27" s="31">
        <v>6.7000000000000002E-3</v>
      </c>
      <c r="H27" s="29"/>
    </row>
    <row r="28" spans="1:8" ht="15" x14ac:dyDescent="0.25">
      <c r="B28">
        <f>SUM(B3:B27)</f>
        <v>35501</v>
      </c>
      <c r="D28" s="30">
        <v>750</v>
      </c>
      <c r="E28" s="30">
        <v>600</v>
      </c>
      <c r="G28" s="31">
        <v>1</v>
      </c>
      <c r="H28" s="29"/>
    </row>
    <row r="29" spans="1:8" ht="15" x14ac:dyDescent="0.25">
      <c r="D29" s="30">
        <v>300</v>
      </c>
      <c r="E29" s="30">
        <v>750</v>
      </c>
      <c r="G29" s="31">
        <v>1</v>
      </c>
      <c r="H29" s="29"/>
    </row>
    <row r="30" spans="1:8" ht="15" x14ac:dyDescent="0.25">
      <c r="D30" s="29"/>
      <c r="E30" s="30">
        <v>250</v>
      </c>
      <c r="G30" s="31">
        <v>0.2</v>
      </c>
      <c r="H30" s="31">
        <v>2</v>
      </c>
    </row>
    <row r="31" spans="1:8" ht="15" x14ac:dyDescent="0.25">
      <c r="D31" s="30">
        <v>600</v>
      </c>
      <c r="E31" s="30">
        <v>1500</v>
      </c>
      <c r="G31" s="31">
        <v>0.5</v>
      </c>
      <c r="H31" s="31">
        <v>0.05</v>
      </c>
    </row>
    <row r="32" spans="1:8" ht="15" x14ac:dyDescent="0.25">
      <c r="A32" s="28" t="s">
        <v>7</v>
      </c>
      <c r="B32">
        <f>AVERAGE(B3:B27)</f>
        <v>1420.04</v>
      </c>
      <c r="D32" s="30">
        <f>AVERAGE(D3:D31)</f>
        <v>1049</v>
      </c>
      <c r="E32" s="30">
        <f>AVERAGE(E3:E31)</f>
        <v>725.75</v>
      </c>
      <c r="G32" s="31">
        <f>AVERAGE(G3:G31)</f>
        <v>1.1181958333333333</v>
      </c>
      <c r="H32" s="31">
        <f>AVERAGE(H3:H31)</f>
        <v>0.47830624999999993</v>
      </c>
    </row>
    <row r="33" spans="1:5" x14ac:dyDescent="0.2">
      <c r="A33" s="28" t="s">
        <v>8</v>
      </c>
      <c r="B33">
        <v>5</v>
      </c>
      <c r="D33">
        <f>SUM(D3:D31)</f>
        <v>27274</v>
      </c>
      <c r="E33">
        <f>SUM(E3:E31)</f>
        <v>11612</v>
      </c>
    </row>
    <row r="34" spans="1:5" x14ac:dyDescent="0.2">
      <c r="A34" s="28" t="s">
        <v>9</v>
      </c>
      <c r="B34">
        <v>0</v>
      </c>
    </row>
    <row r="35" spans="1:5" x14ac:dyDescent="0.2">
      <c r="A35" s="28" t="s">
        <v>10</v>
      </c>
      <c r="B35">
        <f>(B32-B34)/B33</f>
        <v>284.00799999999998</v>
      </c>
    </row>
    <row r="36" spans="1:5" x14ac:dyDescent="0.2">
      <c r="A36" s="28" t="s">
        <v>14</v>
      </c>
      <c r="B36">
        <f>B35/(D32+E32)</f>
        <v>0.16002704606282575</v>
      </c>
    </row>
    <row r="38" spans="1:5" x14ac:dyDescent="0.2">
      <c r="A38" s="28" t="s">
        <v>17</v>
      </c>
      <c r="B38" s="32">
        <f>B36+G32+H32</f>
        <v>1.7565291293961589</v>
      </c>
    </row>
  </sheetData>
  <mergeCells count="4">
    <mergeCell ref="D1:D2"/>
    <mergeCell ref="E1:E2"/>
    <mergeCell ref="G1:G2"/>
    <mergeCell ref="H1:H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65184B3F8BEE4C833BEB05933A57C6" ma:contentTypeVersion="13" ma:contentTypeDescription="Create a new document." ma:contentTypeScope="" ma:versionID="789a104abcf1b4bc4ec568559fe03a20">
  <xsd:schema xmlns:xsd="http://www.w3.org/2001/XMLSchema" xmlns:xs="http://www.w3.org/2001/XMLSchema" xmlns:p="http://schemas.microsoft.com/office/2006/metadata/properties" xmlns:ns3="d5f63291-70bb-491e-9d79-6a835c5aa79c" xmlns:ns4="00e9edd2-d07d-4b44-a8a2-06ac33d7bbe3" targetNamespace="http://schemas.microsoft.com/office/2006/metadata/properties" ma:root="true" ma:fieldsID="1b249ca35a476face71dc9d21123daa9" ns3:_="" ns4:_="">
    <xsd:import namespace="d5f63291-70bb-491e-9d79-6a835c5aa79c"/>
    <xsd:import namespace="00e9edd2-d07d-4b44-a8a2-06ac33d7bbe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f63291-70bb-491e-9d79-6a835c5aa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9edd2-d07d-4b44-a8a2-06ac33d7bbe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EB209EC-A255-4AE0-B828-2234353535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f63291-70bb-491e-9d79-6a835c5aa79c"/>
    <ds:schemaRef ds:uri="00e9edd2-d07d-4b44-a8a2-06ac33d7bb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E55E5F-0CAF-4904-9549-7B6017C62E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38CA75-DE57-46BB-BB01-C47C6113611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5f63291-70bb-491e-9d79-6a835c5aa79c"/>
    <ds:schemaRef ds:uri="http://purl.org/dc/elements/1.1/"/>
    <ds:schemaRef ds:uri="http://schemas.microsoft.com/office/2006/metadata/properties"/>
    <ds:schemaRef ds:uri="00e9edd2-d07d-4b44-a8a2-06ac33d7bbe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Sugarcane Aphid Analysis</vt:lpstr>
      <vt:lpstr>Analysis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LRussell</dc:creator>
  <cp:lastModifiedBy>Annette M. Cayard</cp:lastModifiedBy>
  <cp:lastPrinted>2013-10-31T19:16:50Z</cp:lastPrinted>
  <dcterms:created xsi:type="dcterms:W3CDTF">2007-06-25T15:55:37Z</dcterms:created>
  <dcterms:modified xsi:type="dcterms:W3CDTF">2020-05-29T13:31:10Z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0x0101007765184B3F8BEE4C833BEB05933A57C6</vt:lpwstr>
  </property>
</Properties>
</file>