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ncho.abello\Documents\Presentations\"/>
    </mc:Choice>
  </mc:AlternateContent>
  <xr:revisionPtr revIDLastSave="0" documentId="13_ncr:1_{DF2F893D-BAA8-46FF-AF9E-06A3BF027F05}" xr6:coauthVersionLast="45" xr6:coauthVersionMax="45" xr10:uidLastSave="{00000000-0000-0000-0000-000000000000}"/>
  <bookViews>
    <workbookView xWindow="-96" yWindow="-96" windowWidth="23232" windowHeight="12552" activeTab="3" xr2:uid="{C91D0FE8-EDD7-4AEC-9FCD-F20C7707563F}"/>
  </bookViews>
  <sheets>
    <sheet name="Assumptions" sheetId="14" r:id="rId1"/>
    <sheet name="Comparison" sheetId="33" r:id="rId2"/>
    <sheet name="Stockers Margins" sheetId="22" r:id="rId3"/>
    <sheet name="Feedyard" sheetId="32" r:id="rId4"/>
    <sheet name="Stockers March1st" sheetId="30" r:id="rId5"/>
    <sheet name="Stockers 800 Lb" sheetId="31" r:id="rId6"/>
  </sheets>
  <definedNames>
    <definedName name="FuelperGallon">#REF!</definedName>
    <definedName name="Labor_R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" i="32" l="1"/>
  <c r="F3" i="32"/>
  <c r="F4" i="32"/>
  <c r="F10" i="14"/>
  <c r="F7" i="14"/>
  <c r="I2" i="33" l="1"/>
  <c r="I12" i="33"/>
  <c r="J3" i="33"/>
  <c r="L4" i="33"/>
  <c r="J12" i="33"/>
  <c r="K12" i="33"/>
  <c r="L12" i="33"/>
  <c r="M12" i="33"/>
  <c r="N12" i="33"/>
  <c r="J13" i="33"/>
  <c r="K13" i="33"/>
  <c r="L13" i="33"/>
  <c r="M13" i="33"/>
  <c r="N13" i="33"/>
  <c r="I13" i="33"/>
  <c r="I14" i="33"/>
  <c r="I3" i="33"/>
  <c r="I4" i="33"/>
  <c r="I9" i="33"/>
  <c r="B2" i="33"/>
  <c r="C3" i="33"/>
  <c r="D3" i="33"/>
  <c r="E3" i="33"/>
  <c r="F3" i="33"/>
  <c r="G3" i="33"/>
  <c r="C13" i="33"/>
  <c r="D13" i="33"/>
  <c r="E13" i="33"/>
  <c r="F13" i="33"/>
  <c r="G13" i="33"/>
  <c r="E14" i="33"/>
  <c r="C23" i="33"/>
  <c r="D23" i="33"/>
  <c r="E23" i="33"/>
  <c r="F23" i="33"/>
  <c r="G23" i="33"/>
  <c r="B27" i="33"/>
  <c r="B12" i="33"/>
  <c r="B13" i="33"/>
  <c r="B14" i="33"/>
  <c r="B17" i="33"/>
  <c r="B22" i="33"/>
  <c r="B24" i="33"/>
  <c r="B3" i="33"/>
  <c r="B4" i="33"/>
  <c r="O27" i="32"/>
  <c r="N27" i="32" s="1"/>
  <c r="E30" i="32"/>
  <c r="E32" i="32" s="1"/>
  <c r="H27" i="32"/>
  <c r="J27" i="32" s="1"/>
  <c r="N4" i="33" s="1"/>
  <c r="O13" i="32"/>
  <c r="Q13" i="32" s="1"/>
  <c r="I7" i="33" l="1"/>
  <c r="F27" i="32"/>
  <c r="J4" i="33" s="1"/>
  <c r="G27" i="32"/>
  <c r="K4" i="33" s="1"/>
  <c r="M27" i="32"/>
  <c r="I27" i="32"/>
  <c r="M4" i="33" s="1"/>
  <c r="P27" i="32"/>
  <c r="Q27" i="32"/>
  <c r="E28" i="32"/>
  <c r="I5" i="33" s="1"/>
  <c r="E29" i="32"/>
  <c r="I6" i="33" s="1"/>
  <c r="E31" i="32"/>
  <c r="I8" i="33" s="1"/>
  <c r="M13" i="32"/>
  <c r="N13" i="32"/>
  <c r="P13" i="32"/>
  <c r="H13" i="32"/>
  <c r="E16" i="32"/>
  <c r="C16" i="32"/>
  <c r="J34" i="22"/>
  <c r="B15" i="33" s="1"/>
  <c r="J35" i="22"/>
  <c r="B16" i="33" s="1"/>
  <c r="J38" i="22"/>
  <c r="B19" i="33" s="1"/>
  <c r="J37" i="22"/>
  <c r="B18" i="33" s="1"/>
  <c r="J47" i="22"/>
  <c r="B29" i="33" s="1"/>
  <c r="J46" i="22"/>
  <c r="B28" i="33" s="1"/>
  <c r="J44" i="22"/>
  <c r="B26" i="33" s="1"/>
  <c r="J43" i="22"/>
  <c r="B25" i="33" s="1"/>
  <c r="J27" i="22"/>
  <c r="B7" i="33" s="1"/>
  <c r="G4" i="30"/>
  <c r="L6" i="30" s="1"/>
  <c r="E4" i="30"/>
  <c r="C4" i="22" s="1"/>
  <c r="C31" i="32" s="1"/>
  <c r="C32" i="32" s="1"/>
  <c r="G4" i="31"/>
  <c r="L6" i="31" s="1"/>
  <c r="D4" i="31"/>
  <c r="F3" i="22" s="1"/>
  <c r="D19" i="31"/>
  <c r="D18" i="31"/>
  <c r="I18" i="31" s="1"/>
  <c r="G17" i="31"/>
  <c r="H15" i="31"/>
  <c r="G11" i="31"/>
  <c r="G9" i="31"/>
  <c r="E9" i="31"/>
  <c r="D9" i="31"/>
  <c r="H27" i="31" s="1"/>
  <c r="D19" i="30"/>
  <c r="H15" i="30"/>
  <c r="G11" i="30"/>
  <c r="D18" i="30"/>
  <c r="I18" i="30" s="1"/>
  <c r="G17" i="30"/>
  <c r="G9" i="30"/>
  <c r="E9" i="30"/>
  <c r="D9" i="30"/>
  <c r="H14" i="30" s="1"/>
  <c r="D4" i="30"/>
  <c r="H16" i="30" s="1"/>
  <c r="C3" i="22" l="1"/>
  <c r="H9" i="31"/>
  <c r="H19" i="31" s="1"/>
  <c r="I19" i="31" s="1"/>
  <c r="F11" i="22" s="1"/>
  <c r="E15" i="32"/>
  <c r="I16" i="33" s="1"/>
  <c r="I17" i="33"/>
  <c r="H12" i="31"/>
  <c r="I12" i="31" s="1"/>
  <c r="H13" i="31"/>
  <c r="I13" i="31" s="1"/>
  <c r="H14" i="31"/>
  <c r="I14" i="31" s="1"/>
  <c r="J28" i="22"/>
  <c r="B8" i="33" s="1"/>
  <c r="G13" i="32"/>
  <c r="K14" i="33" s="1"/>
  <c r="L14" i="33"/>
  <c r="J29" i="22"/>
  <c r="B9" i="33" s="1"/>
  <c r="I15" i="31"/>
  <c r="J26" i="22"/>
  <c r="B6" i="33" s="1"/>
  <c r="J25" i="22"/>
  <c r="B5" i="33" s="1"/>
  <c r="L32" i="32"/>
  <c r="E17" i="32"/>
  <c r="I18" i="33" s="1"/>
  <c r="E18" i="32"/>
  <c r="I19" i="33" s="1"/>
  <c r="E14" i="32"/>
  <c r="I15" i="33" s="1"/>
  <c r="I13" i="32"/>
  <c r="J13" i="32"/>
  <c r="F13" i="32"/>
  <c r="J14" i="33" s="1"/>
  <c r="K33" i="22"/>
  <c r="C14" i="33" s="1"/>
  <c r="N33" i="22"/>
  <c r="L33" i="22"/>
  <c r="O33" i="22"/>
  <c r="H18" i="31"/>
  <c r="I27" i="31"/>
  <c r="H25" i="31"/>
  <c r="H16" i="31"/>
  <c r="H26" i="31"/>
  <c r="I26" i="31" s="1"/>
  <c r="I36" i="30"/>
  <c r="C22" i="22" s="1"/>
  <c r="H27" i="30"/>
  <c r="I27" i="30" s="1"/>
  <c r="H25" i="30"/>
  <c r="I25" i="30" s="1"/>
  <c r="H26" i="30"/>
  <c r="I26" i="30" s="1"/>
  <c r="I15" i="30"/>
  <c r="D11" i="30"/>
  <c r="H11" i="30" s="1"/>
  <c r="I14" i="30"/>
  <c r="H18" i="30"/>
  <c r="H12" i="30"/>
  <c r="I12" i="30" s="1"/>
  <c r="H17" i="30"/>
  <c r="I17" i="30" s="1"/>
  <c r="I16" i="30"/>
  <c r="H13" i="30"/>
  <c r="I13" i="30" s="1"/>
  <c r="H9" i="30"/>
  <c r="H19" i="30" s="1"/>
  <c r="H4" i="30"/>
  <c r="I4" i="30" s="1"/>
  <c r="C6" i="22" s="1"/>
  <c r="I9" i="31" l="1"/>
  <c r="C10" i="22"/>
  <c r="M14" i="33"/>
  <c r="G14" i="33"/>
  <c r="C16" i="22"/>
  <c r="F14" i="33"/>
  <c r="D14" i="33"/>
  <c r="N14" i="33"/>
  <c r="L29" i="32"/>
  <c r="L28" i="32"/>
  <c r="L31" i="32"/>
  <c r="L30" i="32"/>
  <c r="H28" i="31"/>
  <c r="I28" i="31" s="1"/>
  <c r="F16" i="22" s="1"/>
  <c r="I25" i="31"/>
  <c r="H17" i="31"/>
  <c r="I17" i="31" s="1"/>
  <c r="I16" i="31"/>
  <c r="H28" i="30"/>
  <c r="I28" i="30" s="1"/>
  <c r="I9" i="30"/>
  <c r="C8" i="22" s="1"/>
  <c r="I11" i="30"/>
  <c r="C9" i="22" s="1"/>
  <c r="I19" i="30"/>
  <c r="C11" i="22" s="1"/>
  <c r="H6" i="30"/>
  <c r="F10" i="22" l="1"/>
  <c r="C12" i="22"/>
  <c r="C20" i="22" s="1"/>
  <c r="I6" i="30"/>
  <c r="H20" i="30"/>
  <c r="H30" i="30" s="1"/>
  <c r="I20" i="30"/>
  <c r="I30" i="30" s="1"/>
  <c r="I33" i="30" l="1"/>
  <c r="I37" i="30"/>
  <c r="C23" i="22" s="1"/>
  <c r="I32" i="30"/>
  <c r="H22" i="30"/>
  <c r="I22" i="30"/>
  <c r="I35" i="30" l="1"/>
  <c r="C18" i="22"/>
  <c r="C25" i="22" s="1"/>
  <c r="F13" i="14" l="1"/>
  <c r="E4" i="31" s="1"/>
  <c r="D11" i="31" l="1"/>
  <c r="H11" i="31" s="1"/>
  <c r="F4" i="22"/>
  <c r="H4" i="31"/>
  <c r="I36" i="31"/>
  <c r="F22" i="22" s="1"/>
  <c r="F5" i="22"/>
  <c r="C5" i="22"/>
  <c r="H6" i="31" l="1"/>
  <c r="I4" i="31"/>
  <c r="C17" i="32"/>
  <c r="C18" i="32" s="1"/>
  <c r="M24" i="22"/>
  <c r="E4" i="33" s="1"/>
  <c r="C33" i="32"/>
  <c r="M42" i="22"/>
  <c r="C19" i="32"/>
  <c r="I11" i="31"/>
  <c r="H20" i="31"/>
  <c r="H30" i="31" s="1"/>
  <c r="M25" i="22" l="1"/>
  <c r="E5" i="33" s="1"/>
  <c r="M26" i="22"/>
  <c r="E6" i="33" s="1"/>
  <c r="L24" i="22"/>
  <c r="D4" i="33" s="1"/>
  <c r="M28" i="22"/>
  <c r="E8" i="33" s="1"/>
  <c r="N24" i="22"/>
  <c r="F4" i="33" s="1"/>
  <c r="M27" i="22"/>
  <c r="E7" i="33" s="1"/>
  <c r="M29" i="22"/>
  <c r="E9" i="33" s="1"/>
  <c r="F9" i="22"/>
  <c r="M47" i="22" s="1"/>
  <c r="E29" i="33" s="1"/>
  <c r="I20" i="31"/>
  <c r="L42" i="22"/>
  <c r="E24" i="33"/>
  <c r="K42" i="22"/>
  <c r="N42" i="22"/>
  <c r="O42" i="22"/>
  <c r="H31" i="32"/>
  <c r="L8" i="33" s="1"/>
  <c r="H29" i="32"/>
  <c r="L6" i="33" s="1"/>
  <c r="H28" i="32"/>
  <c r="L5" i="33" s="1"/>
  <c r="H30" i="32"/>
  <c r="L7" i="33" s="1"/>
  <c r="H32" i="32"/>
  <c r="L9" i="33" s="1"/>
  <c r="N32" i="32"/>
  <c r="G30" i="32"/>
  <c r="K7" i="33" s="1"/>
  <c r="F32" i="32"/>
  <c r="J9" i="33" s="1"/>
  <c r="F29" i="32"/>
  <c r="J6" i="33" s="1"/>
  <c r="I30" i="32"/>
  <c r="M7" i="33" s="1"/>
  <c r="F28" i="32"/>
  <c r="J5" i="33" s="1"/>
  <c r="I29" i="32"/>
  <c r="M6" i="33" s="1"/>
  <c r="G29" i="32"/>
  <c r="K6" i="33" s="1"/>
  <c r="G32" i="32"/>
  <c r="K9" i="33" s="1"/>
  <c r="F31" i="32"/>
  <c r="J8" i="33" s="1"/>
  <c r="I28" i="32"/>
  <c r="M5" i="33" s="1"/>
  <c r="G31" i="32"/>
  <c r="K8" i="33" s="1"/>
  <c r="P32" i="32"/>
  <c r="I32" i="32"/>
  <c r="M9" i="33" s="1"/>
  <c r="J29" i="32"/>
  <c r="N6" i="33" s="1"/>
  <c r="J28" i="32"/>
  <c r="N5" i="33" s="1"/>
  <c r="I31" i="32"/>
  <c r="M8" i="33" s="1"/>
  <c r="J32" i="32"/>
  <c r="N9" i="33" s="1"/>
  <c r="G28" i="32"/>
  <c r="K5" i="33" s="1"/>
  <c r="J30" i="32"/>
  <c r="N7" i="33" s="1"/>
  <c r="M32" i="32"/>
  <c r="J31" i="32"/>
  <c r="N8" i="33" s="1"/>
  <c r="O32" i="32"/>
  <c r="Q32" i="32"/>
  <c r="F30" i="32"/>
  <c r="J7" i="33" s="1"/>
  <c r="O31" i="32"/>
  <c r="M30" i="32"/>
  <c r="N31" i="32"/>
  <c r="N29" i="32"/>
  <c r="Q31" i="32"/>
  <c r="Q29" i="32"/>
  <c r="P28" i="32"/>
  <c r="Q28" i="32"/>
  <c r="P30" i="32"/>
  <c r="N30" i="32"/>
  <c r="O30" i="32"/>
  <c r="O29" i="32"/>
  <c r="P29" i="32"/>
  <c r="M28" i="32"/>
  <c r="Q30" i="32"/>
  <c r="M31" i="32"/>
  <c r="M29" i="32"/>
  <c r="O28" i="32"/>
  <c r="N28" i="32"/>
  <c r="P31" i="32"/>
  <c r="K24" i="22"/>
  <c r="C4" i="33" s="1"/>
  <c r="I6" i="31"/>
  <c r="H22" i="31"/>
  <c r="F14" i="22" s="1"/>
  <c r="O24" i="22"/>
  <c r="G4" i="33" s="1"/>
  <c r="L18" i="32"/>
  <c r="H15" i="32"/>
  <c r="L16" i="33" s="1"/>
  <c r="I15" i="32"/>
  <c r="M16" i="33" s="1"/>
  <c r="F14" i="32"/>
  <c r="J15" i="33" s="1"/>
  <c r="I14" i="32"/>
  <c r="M15" i="33" s="1"/>
  <c r="G14" i="32"/>
  <c r="K15" i="33" s="1"/>
  <c r="H18" i="32"/>
  <c r="L19" i="33" s="1"/>
  <c r="F17" i="32"/>
  <c r="J18" i="33" s="1"/>
  <c r="F15" i="32"/>
  <c r="J16" i="33" s="1"/>
  <c r="J14" i="32"/>
  <c r="N15" i="33" s="1"/>
  <c r="J15" i="32"/>
  <c r="N16" i="33" s="1"/>
  <c r="H14" i="32"/>
  <c r="L15" i="33" s="1"/>
  <c r="I16" i="32"/>
  <c r="M17" i="33" s="1"/>
  <c r="H17" i="32"/>
  <c r="L18" i="33" s="1"/>
  <c r="J17" i="32"/>
  <c r="N18" i="33" s="1"/>
  <c r="J16" i="32"/>
  <c r="N17" i="33" s="1"/>
  <c r="I18" i="32"/>
  <c r="M19" i="33" s="1"/>
  <c r="J18" i="32"/>
  <c r="N19" i="33" s="1"/>
  <c r="G17" i="32"/>
  <c r="K18" i="33" s="1"/>
  <c r="G15" i="32"/>
  <c r="K16" i="33" s="1"/>
  <c r="F18" i="32"/>
  <c r="J19" i="33" s="1"/>
  <c r="G18" i="32"/>
  <c r="K19" i="33" s="1"/>
  <c r="G16" i="32"/>
  <c r="K17" i="33" s="1"/>
  <c r="I17" i="32"/>
  <c r="M18" i="33" s="1"/>
  <c r="H16" i="32"/>
  <c r="L17" i="33" s="1"/>
  <c r="F16" i="32"/>
  <c r="J17" i="33" s="1"/>
  <c r="F8" i="22"/>
  <c r="N25" i="22" l="1"/>
  <c r="F5" i="33" s="1"/>
  <c r="N28" i="22"/>
  <c r="F8" i="33" s="1"/>
  <c r="L25" i="22"/>
  <c r="D5" i="33" s="1"/>
  <c r="L27" i="22"/>
  <c r="D7" i="33" s="1"/>
  <c r="L26" i="22"/>
  <c r="D6" i="33" s="1"/>
  <c r="L28" i="22"/>
  <c r="D8" i="33" s="1"/>
  <c r="L29" i="22"/>
  <c r="D9" i="33" s="1"/>
  <c r="O26" i="22"/>
  <c r="G6" i="33" s="1"/>
  <c r="N27" i="22"/>
  <c r="F7" i="33" s="1"/>
  <c r="N26" i="22"/>
  <c r="F6" i="33" s="1"/>
  <c r="N29" i="22"/>
  <c r="F9" i="33" s="1"/>
  <c r="K27" i="22"/>
  <c r="C7" i="33" s="1"/>
  <c r="K26" i="22"/>
  <c r="C6" i="33" s="1"/>
  <c r="K28" i="22"/>
  <c r="C8" i="33" s="1"/>
  <c r="O27" i="22"/>
  <c r="G7" i="33" s="1"/>
  <c r="O29" i="22"/>
  <c r="G9" i="33" s="1"/>
  <c r="L14" i="32"/>
  <c r="L16" i="32"/>
  <c r="N18" i="32"/>
  <c r="L17" i="32"/>
  <c r="Q18" i="32"/>
  <c r="P18" i="32"/>
  <c r="M18" i="32"/>
  <c r="O18" i="32"/>
  <c r="L15" i="32"/>
  <c r="D24" i="33"/>
  <c r="L47" i="22"/>
  <c r="D29" i="33" s="1"/>
  <c r="L43" i="22"/>
  <c r="D25" i="33" s="1"/>
  <c r="L45" i="22"/>
  <c r="D27" i="33" s="1"/>
  <c r="L46" i="22"/>
  <c r="D28" i="33" s="1"/>
  <c r="L44" i="22"/>
  <c r="D26" i="33" s="1"/>
  <c r="I30" i="31"/>
  <c r="I32" i="31" s="1"/>
  <c r="F12" i="22"/>
  <c r="F20" i="22" s="1"/>
  <c r="F6" i="22"/>
  <c r="I22" i="31"/>
  <c r="F13" i="22" s="1"/>
  <c r="K25" i="22"/>
  <c r="C5" i="33" s="1"/>
  <c r="L34" i="22"/>
  <c r="D15" i="33" s="1"/>
  <c r="L35" i="22"/>
  <c r="D16" i="33" s="1"/>
  <c r="N35" i="22"/>
  <c r="F16" i="33" s="1"/>
  <c r="M35" i="22"/>
  <c r="E16" i="33" s="1"/>
  <c r="K35" i="22"/>
  <c r="C16" i="33" s="1"/>
  <c r="M36" i="22"/>
  <c r="E17" i="33" s="1"/>
  <c r="N36" i="22"/>
  <c r="F17" i="33" s="1"/>
  <c r="O38" i="22"/>
  <c r="G19" i="33" s="1"/>
  <c r="N37" i="22"/>
  <c r="F18" i="33" s="1"/>
  <c r="K38" i="22"/>
  <c r="C19" i="33" s="1"/>
  <c r="K36" i="22"/>
  <c r="C17" i="33" s="1"/>
  <c r="L38" i="22"/>
  <c r="D19" i="33" s="1"/>
  <c r="L36" i="22"/>
  <c r="D17" i="33" s="1"/>
  <c r="N38" i="22"/>
  <c r="F19" i="33" s="1"/>
  <c r="L37" i="22"/>
  <c r="D18" i="33" s="1"/>
  <c r="M38" i="22"/>
  <c r="E19" i="33" s="1"/>
  <c r="O34" i="22"/>
  <c r="G15" i="33" s="1"/>
  <c r="O36" i="22"/>
  <c r="G17" i="33" s="1"/>
  <c r="N34" i="22"/>
  <c r="F15" i="33" s="1"/>
  <c r="O35" i="22"/>
  <c r="G16" i="33" s="1"/>
  <c r="M34" i="22"/>
  <c r="E15" i="33" s="1"/>
  <c r="K37" i="22"/>
  <c r="C18" i="33" s="1"/>
  <c r="K34" i="22"/>
  <c r="C15" i="33" s="1"/>
  <c r="O37" i="22"/>
  <c r="G18" i="33" s="1"/>
  <c r="M37" i="22"/>
  <c r="E18" i="33" s="1"/>
  <c r="K29" i="22"/>
  <c r="C9" i="33" s="1"/>
  <c r="M44" i="22"/>
  <c r="E26" i="33" s="1"/>
  <c r="M43" i="22"/>
  <c r="E25" i="33" s="1"/>
  <c r="O25" i="22"/>
  <c r="G5" i="33" s="1"/>
  <c r="M45" i="22"/>
  <c r="E27" i="33" s="1"/>
  <c r="O28" i="22"/>
  <c r="G8" i="33" s="1"/>
  <c r="M46" i="22"/>
  <c r="E28" i="33" s="1"/>
  <c r="G24" i="33"/>
  <c r="O47" i="22"/>
  <c r="G29" i="33" s="1"/>
  <c r="O44" i="22"/>
  <c r="G26" i="33" s="1"/>
  <c r="O43" i="22"/>
  <c r="G25" i="33" s="1"/>
  <c r="O45" i="22"/>
  <c r="G27" i="33" s="1"/>
  <c r="O46" i="22"/>
  <c r="G28" i="33" s="1"/>
  <c r="F24" i="33"/>
  <c r="N47" i="22"/>
  <c r="F29" i="33" s="1"/>
  <c r="N43" i="22"/>
  <c r="F25" i="33" s="1"/>
  <c r="N45" i="22"/>
  <c r="F27" i="33" s="1"/>
  <c r="N44" i="22"/>
  <c r="F26" i="33" s="1"/>
  <c r="N46" i="22"/>
  <c r="F28" i="33" s="1"/>
  <c r="C24" i="33"/>
  <c r="K44" i="22"/>
  <c r="C26" i="33" s="1"/>
  <c r="K45" i="22"/>
  <c r="C27" i="33" s="1"/>
  <c r="K43" i="22"/>
  <c r="C25" i="33" s="1"/>
  <c r="K46" i="22"/>
  <c r="C28" i="33" s="1"/>
  <c r="K47" i="22"/>
  <c r="C29" i="33" s="1"/>
  <c r="C13" i="22"/>
  <c r="N15" i="32" l="1"/>
  <c r="P15" i="32"/>
  <c r="M15" i="32"/>
  <c r="Q15" i="32"/>
  <c r="O15" i="32"/>
  <c r="N17" i="32"/>
  <c r="P17" i="32"/>
  <c r="M17" i="32"/>
  <c r="O17" i="32"/>
  <c r="Q17" i="32"/>
  <c r="N16" i="32"/>
  <c r="O16" i="32"/>
  <c r="Q16" i="32"/>
  <c r="M16" i="32"/>
  <c r="P16" i="32"/>
  <c r="M14" i="32"/>
  <c r="O14" i="32"/>
  <c r="Q14" i="32"/>
  <c r="P14" i="32"/>
  <c r="N14" i="32"/>
  <c r="I35" i="31"/>
  <c r="F18" i="22"/>
  <c r="I37" i="31"/>
  <c r="F23" i="22" s="1"/>
  <c r="I33" i="31"/>
  <c r="C14" i="22"/>
  <c r="F25" i="22" l="1"/>
  <c r="C26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 Bevers</author>
  </authors>
  <commentList>
    <comment ref="I35" authorId="0" shapeId="0" xr:uid="{D6F41295-4631-4151-902E-509C0EADE0EF}">
      <text>
        <r>
          <rPr>
            <b/>
            <sz val="8"/>
            <color indexed="81"/>
            <rFont val="Tahoma"/>
            <family val="2"/>
          </rPr>
          <t>Stan Bevers:</t>
        </r>
        <r>
          <rPr>
            <sz val="8"/>
            <color indexed="81"/>
            <rFont val="Tahoma"/>
            <family val="2"/>
          </rPr>
          <t xml:space="preserve">
This is what you paid yourself for gain above all costs if you haven't entered a lease cost.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 Bevers</author>
  </authors>
  <commentList>
    <comment ref="I35" authorId="0" shapeId="0" xr:uid="{3170122E-3493-4DC1-9F31-CA7D13D8BCA6}">
      <text>
        <r>
          <rPr>
            <b/>
            <sz val="8"/>
            <color indexed="81"/>
            <rFont val="Tahoma"/>
            <family val="2"/>
          </rPr>
          <t>Stan Bevers:</t>
        </r>
        <r>
          <rPr>
            <sz val="8"/>
            <color indexed="81"/>
            <rFont val="Tahoma"/>
            <family val="2"/>
          </rPr>
          <t xml:space="preserve">
This is what you paid yourself for gain above all costs if you haven't entered a lease cost.</t>
        </r>
      </text>
    </comment>
  </commentList>
</comments>
</file>

<file path=xl/sharedStrings.xml><?xml version="1.0" encoding="utf-8"?>
<sst xmlns="http://schemas.openxmlformats.org/spreadsheetml/2006/main" count="237" uniqueCount="114">
  <si>
    <t>Quantity</t>
  </si>
  <si>
    <t>Units</t>
  </si>
  <si>
    <t>$/Unit</t>
  </si>
  <si>
    <t>Total</t>
  </si>
  <si>
    <t>Total Revenue</t>
  </si>
  <si>
    <t>Fuel</t>
  </si>
  <si>
    <t>Lube (As a % of fuel)</t>
  </si>
  <si>
    <t>Total Variable Costs</t>
  </si>
  <si>
    <t>Total Fixed Costs</t>
  </si>
  <si>
    <t>Grazing</t>
  </si>
  <si>
    <t>Feeder Calf</t>
  </si>
  <si>
    <t>CWT</t>
  </si>
  <si>
    <t>Futures Contract</t>
  </si>
  <si>
    <t>May</t>
  </si>
  <si>
    <t>Futures Price</t>
  </si>
  <si>
    <t>Expected Basis</t>
  </si>
  <si>
    <t>Head</t>
  </si>
  <si>
    <t>Interest on Investment</t>
  </si>
  <si>
    <t>Total All Costs</t>
  </si>
  <si>
    <t>Breakeven Price to Cover All Costs (/Cwt.):</t>
  </si>
  <si>
    <t>Value of Gain Above Costs ($/Lb.of Gain):</t>
  </si>
  <si>
    <t>Total Gain per Head (Lbs./Head)</t>
  </si>
  <si>
    <t>Cost per Pound of Gain ($/cwt)</t>
  </si>
  <si>
    <t>Date Early Grazing Phase Begins</t>
  </si>
  <si>
    <t>Price</t>
  </si>
  <si>
    <t>Date Late Grazing Phase Begins</t>
  </si>
  <si>
    <t>Grazing Costs</t>
  </si>
  <si>
    <t>Purchase Cost</t>
  </si>
  <si>
    <t>Interest</t>
  </si>
  <si>
    <t>Returns Above Variable Costs ($/head)</t>
  </si>
  <si>
    <t>Income ($/head)</t>
  </si>
  <si>
    <t>Marketing Cost</t>
  </si>
  <si>
    <t>Lb/Head</t>
  </si>
  <si>
    <t>Stockers (700 Lb)</t>
  </si>
  <si>
    <t>Stockers (800 Lb)</t>
  </si>
  <si>
    <t>$/head</t>
  </si>
  <si>
    <t>Interest Rate</t>
  </si>
  <si>
    <t>Total Variable Costs ($/Head)</t>
  </si>
  <si>
    <t>Fixed Costs</t>
  </si>
  <si>
    <t>Grazing Cost ($/ Lb gained)</t>
  </si>
  <si>
    <t>Stockers 800 (Graze Out)</t>
  </si>
  <si>
    <t>Number of Heads</t>
  </si>
  <si>
    <t>Death Loss (%)</t>
  </si>
  <si>
    <t>Pull off Date</t>
  </si>
  <si>
    <t xml:space="preserve">Late Grazing Phase ADG (Lbs./Day) </t>
  </si>
  <si>
    <t>REVENUE</t>
  </si>
  <si>
    <t>Pay Weight</t>
  </si>
  <si>
    <t>2019-2020 Stocker Cattle Budget - Pull off March 1st</t>
  </si>
  <si>
    <t>Variable Costs</t>
  </si>
  <si>
    <t>Stocker Calf Purchase</t>
  </si>
  <si>
    <t>Cattle Prices ($/CWT)</t>
  </si>
  <si>
    <t>Calf Purchase</t>
  </si>
  <si>
    <t>Feed - Salt &amp; Mineral</t>
  </si>
  <si>
    <t>Labor ($/Hd)</t>
  </si>
  <si>
    <t>Feed - Hay</t>
  </si>
  <si>
    <t>Vet/Medicine Cost ($/Hd)</t>
  </si>
  <si>
    <t>Pound/head</t>
  </si>
  <si>
    <t>Pounds Gained</t>
  </si>
  <si>
    <t>Percentage</t>
  </si>
  <si>
    <t>Annual %</t>
  </si>
  <si>
    <t>Total Returns Above Variable Costs</t>
  </si>
  <si>
    <t>Depreciation Costs</t>
  </si>
  <si>
    <t>Equipment Invesment</t>
  </si>
  <si>
    <t>Management Fee</t>
  </si>
  <si>
    <t>Breakeven Price to Cover All Costs ($/Cwt.):</t>
  </si>
  <si>
    <t>Shrink (%)</t>
  </si>
  <si>
    <t>Heads sold</t>
  </si>
  <si>
    <t>Other Variable costs</t>
  </si>
  <si>
    <t>Planned Returns ($/Head):</t>
  </si>
  <si>
    <t>Planned Returns ($/Head)</t>
  </si>
  <si>
    <t>Total Returns Above Var. Costs</t>
  </si>
  <si>
    <t>Price ($/CWT)</t>
  </si>
  <si>
    <t>Calf Max. Price to be Paid ($/CWT)</t>
  </si>
  <si>
    <t>Cost per Pound of Gain ($/CWT)</t>
  </si>
  <si>
    <t>Sale price to justify retaining should be below</t>
  </si>
  <si>
    <t>Sale Price (700 Lb)</t>
  </si>
  <si>
    <t>Calf</t>
  </si>
  <si>
    <t>Sale Price (800 Lb)</t>
  </si>
  <si>
    <t>ADG:</t>
  </si>
  <si>
    <t>Weight Out:</t>
  </si>
  <si>
    <t>Weight In:</t>
  </si>
  <si>
    <t>Interest Rate:</t>
  </si>
  <si>
    <t>Cost of Gain $/CWT:</t>
  </si>
  <si>
    <t>Days on Feedyard:</t>
  </si>
  <si>
    <t>Price Stocker ($/CWT)</t>
  </si>
  <si>
    <t xml:space="preserve">Cost of </t>
  </si>
  <si>
    <t>Gain</t>
  </si>
  <si>
    <t>Sale Price ($/CWT):</t>
  </si>
  <si>
    <t>Death Loss:</t>
  </si>
  <si>
    <t>Sale Price Fed Cattle</t>
  </si>
  <si>
    <t>Retained Feedyard Sensitivity Analysis - Sale Weight w/ Shrink</t>
  </si>
  <si>
    <t xml:space="preserve">Retaining Ownership of Cattle through Feedlot beginning May; ~ 800 lbs. </t>
  </si>
  <si>
    <t xml:space="preserve">Retaining ownership of cattle through feedlot beginning May; ~700 lbs. </t>
  </si>
  <si>
    <t>Assumptions</t>
  </si>
  <si>
    <t>Other costs (vet, processing, misc.)</t>
  </si>
  <si>
    <t xml:space="preserve">$/bu. </t>
  </si>
  <si>
    <t xml:space="preserve">Feed Cost (Corn,  delivered) </t>
  </si>
  <si>
    <t>$/head/day</t>
  </si>
  <si>
    <t>Yardage Cost</t>
  </si>
  <si>
    <t>Weight</t>
  </si>
  <si>
    <t>Sale</t>
  </si>
  <si>
    <t>Stockers ~700 Lb</t>
  </si>
  <si>
    <t>Stockers ~800 Lb</t>
  </si>
  <si>
    <t>Calf Purchase Weight</t>
  </si>
  <si>
    <t xml:space="preserve">Stockers ~700 Lb (March) </t>
  </si>
  <si>
    <t>Assumed Variables</t>
  </si>
  <si>
    <t>* Do not include Depreciation and Management Fee Costs</t>
  </si>
  <si>
    <t>Early Grazing Phase ADG (Lbs./Day)</t>
  </si>
  <si>
    <t>~700 Lb</t>
  </si>
  <si>
    <t>Retaining Stockers to May on Wheat -  Sensitivity Analysis ($/head)</t>
  </si>
  <si>
    <t>Retained Feedyard Sensitivity Analysis - COG - ($/head)</t>
  </si>
  <si>
    <t>Retained Feedyard Sensitivity Analysis - COG - ($/Head)</t>
  </si>
  <si>
    <t>Stockers ~700 Lb - Returns Sensitivity Analysis ($/head)</t>
  </si>
  <si>
    <t>Stockers ~800 Lb - Returns Sensitivity Analysis ($/head)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</si>
</sst>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0"/>
    <numFmt numFmtId="166" formatCode="_(* #,##0_);_(* \(#,##0\);_(* &quot;-&quot;??_);_(@_)"/>
    <numFmt numFmtId="167" formatCode="_(* #,##0.0_);_(* \(#,##0.0\);_(* &quot;-&quot;??_);_(@_)"/>
    <numFmt numFmtId="169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39"/>
      <name val="Arial"/>
      <family val="2"/>
    </font>
    <font>
      <sz val="10"/>
      <name val="Arial"/>
      <family val="2"/>
    </font>
    <font>
      <b/>
      <sz val="10"/>
      <color rgb="FF0070C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0"/>
      <name val="Arial"/>
      <family val="2"/>
    </font>
    <font>
      <sz val="11"/>
      <color rgb="FF3333FF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3333FF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/>
    <xf numFmtId="0" fontId="12" fillId="2" borderId="0" xfId="0" applyFont="1" applyFill="1"/>
    <xf numFmtId="0" fontId="3" fillId="2" borderId="0" xfId="0" applyFont="1" applyFill="1"/>
    <xf numFmtId="8" fontId="0" fillId="2" borderId="0" xfId="0" applyNumberFormat="1" applyFill="1"/>
    <xf numFmtId="8" fontId="3" fillId="2" borderId="0" xfId="0" applyNumberFormat="1" applyFont="1" applyFill="1"/>
    <xf numFmtId="164" fontId="0" fillId="2" borderId="0" xfId="0" applyNumberFormat="1" applyFill="1"/>
    <xf numFmtId="43" fontId="0" fillId="2" borderId="0" xfId="0" applyNumberFormat="1" applyFill="1"/>
    <xf numFmtId="0" fontId="8" fillId="2" borderId="0" xfId="0" applyFont="1" applyFill="1"/>
    <xf numFmtId="2" fontId="0" fillId="2" borderId="0" xfId="0" applyNumberFormat="1" applyFill="1"/>
    <xf numFmtId="43" fontId="0" fillId="2" borderId="0" xfId="1" applyFont="1" applyFill="1"/>
    <xf numFmtId="0" fontId="3" fillId="2" borderId="0" xfId="0" applyFont="1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0" fontId="0" fillId="2" borderId="0" xfId="0" applyFill="1" applyBorder="1"/>
    <xf numFmtId="6" fontId="0" fillId="2" borderId="0" xfId="0" applyNumberFormat="1" applyFill="1"/>
    <xf numFmtId="0" fontId="0" fillId="2" borderId="7" xfId="0" applyFill="1" applyBorder="1"/>
    <xf numFmtId="166" fontId="12" fillId="2" borderId="7" xfId="1" applyNumberFormat="1" applyFont="1" applyFill="1" applyBorder="1"/>
    <xf numFmtId="43" fontId="12" fillId="2" borderId="7" xfId="1" applyNumberFormat="1" applyFont="1" applyFill="1" applyBorder="1"/>
    <xf numFmtId="0" fontId="4" fillId="2" borderId="0" xfId="0" applyFont="1" applyFill="1" applyProtection="1">
      <protection locked="0"/>
    </xf>
    <xf numFmtId="0" fontId="5" fillId="2" borderId="0" xfId="0" applyFont="1" applyFill="1"/>
    <xf numFmtId="0" fontId="6" fillId="2" borderId="0" xfId="0" applyFont="1" applyFill="1" applyAlignment="1">
      <alignment horizontal="center"/>
    </xf>
    <xf numFmtId="2" fontId="6" fillId="2" borderId="0" xfId="0" applyNumberFormat="1" applyFont="1" applyFill="1"/>
    <xf numFmtId="0" fontId="7" fillId="2" borderId="0" xfId="0" applyFont="1" applyFill="1"/>
    <xf numFmtId="10" fontId="0" fillId="2" borderId="0" xfId="0" applyNumberFormat="1" applyFill="1"/>
    <xf numFmtId="8" fontId="8" fillId="2" borderId="0" xfId="0" applyNumberFormat="1" applyFont="1" applyFill="1" applyAlignment="1">
      <alignment horizontal="right"/>
    </xf>
    <xf numFmtId="165" fontId="0" fillId="2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8" fontId="0" fillId="2" borderId="2" xfId="0" applyNumberFormat="1" applyFill="1" applyBorder="1"/>
    <xf numFmtId="0" fontId="2" fillId="4" borderId="1" xfId="0" applyFont="1" applyFill="1" applyBorder="1"/>
    <xf numFmtId="0" fontId="2" fillId="4" borderId="3" xfId="0" applyFont="1" applyFill="1" applyBorder="1"/>
    <xf numFmtId="166" fontId="13" fillId="2" borderId="2" xfId="1" applyNumberFormat="1" applyFont="1" applyFill="1" applyBorder="1"/>
    <xf numFmtId="43" fontId="5" fillId="2" borderId="0" xfId="0" applyNumberFormat="1" applyFont="1" applyFill="1" applyProtection="1">
      <protection locked="0"/>
    </xf>
    <xf numFmtId="0" fontId="3" fillId="2" borderId="0" xfId="0" applyFont="1" applyFill="1" applyBorder="1"/>
    <xf numFmtId="10" fontId="12" fillId="2" borderId="7" xfId="2" applyNumberFormat="1" applyFont="1" applyFill="1" applyBorder="1"/>
    <xf numFmtId="16" fontId="12" fillId="2" borderId="7" xfId="0" applyNumberFormat="1" applyFont="1" applyFill="1" applyBorder="1"/>
    <xf numFmtId="0" fontId="12" fillId="2" borderId="7" xfId="0" applyFont="1" applyFill="1" applyBorder="1"/>
    <xf numFmtId="16" fontId="13" fillId="2" borderId="7" xfId="0" applyNumberFormat="1" applyFont="1" applyFill="1" applyBorder="1"/>
    <xf numFmtId="166" fontId="0" fillId="2" borderId="2" xfId="1" applyNumberFormat="1" applyFont="1" applyFill="1" applyBorder="1"/>
    <xf numFmtId="0" fontId="14" fillId="4" borderId="1" xfId="0" applyFont="1" applyFill="1" applyBorder="1"/>
    <xf numFmtId="166" fontId="0" fillId="2" borderId="2" xfId="0" applyNumberFormat="1" applyFill="1" applyBorder="1"/>
    <xf numFmtId="166" fontId="2" fillId="4" borderId="2" xfId="1" applyNumberFormat="1" applyFont="1" applyFill="1" applyBorder="1"/>
    <xf numFmtId="164" fontId="12" fillId="2" borderId="7" xfId="0" applyNumberFormat="1" applyFont="1" applyFill="1" applyBorder="1"/>
    <xf numFmtId="167" fontId="12" fillId="2" borderId="7" xfId="1" applyNumberFormat="1" applyFont="1" applyFill="1" applyBorder="1"/>
    <xf numFmtId="164" fontId="6" fillId="2" borderId="0" xfId="0" applyNumberFormat="1" applyFont="1" applyFill="1"/>
    <xf numFmtId="0" fontId="3" fillId="2" borderId="0" xfId="0" applyFont="1" applyFill="1" applyAlignment="1">
      <alignment horizontal="left"/>
    </xf>
    <xf numFmtId="6" fontId="3" fillId="2" borderId="0" xfId="0" applyNumberFormat="1" applyFont="1" applyFill="1"/>
    <xf numFmtId="0" fontId="11" fillId="2" borderId="0" xfId="0" applyFont="1" applyFill="1"/>
    <xf numFmtId="8" fontId="12" fillId="2" borderId="0" xfId="0" applyNumberFormat="1" applyFont="1" applyFill="1"/>
    <xf numFmtId="9" fontId="12" fillId="2" borderId="0" xfId="0" applyNumberFormat="1" applyFont="1" applyFill="1"/>
    <xf numFmtId="6" fontId="0" fillId="2" borderId="0" xfId="0" applyNumberFormat="1" applyFill="1" applyAlignment="1">
      <alignment horizontal="right"/>
    </xf>
    <xf numFmtId="167" fontId="2" fillId="4" borderId="4" xfId="1" applyNumberFormat="1" applyFont="1" applyFill="1" applyBorder="1"/>
    <xf numFmtId="0" fontId="2" fillId="4" borderId="5" xfId="0" applyFont="1" applyFill="1" applyBorder="1"/>
    <xf numFmtId="167" fontId="2" fillId="4" borderId="6" xfId="1" applyNumberFormat="1" applyFont="1" applyFill="1" applyBorder="1"/>
    <xf numFmtId="38" fontId="0" fillId="2" borderId="15" xfId="0" applyNumberFormat="1" applyFill="1" applyBorder="1"/>
    <xf numFmtId="38" fontId="0" fillId="2" borderId="16" xfId="0" applyNumberFormat="1" applyFill="1" applyBorder="1"/>
    <xf numFmtId="38" fontId="0" fillId="2" borderId="17" xfId="0" applyNumberFormat="1" applyFill="1" applyBorder="1"/>
    <xf numFmtId="38" fontId="0" fillId="2" borderId="21" xfId="0" applyNumberFormat="1" applyFill="1" applyBorder="1"/>
    <xf numFmtId="38" fontId="0" fillId="2" borderId="7" xfId="0" applyNumberFormat="1" applyFill="1" applyBorder="1"/>
    <xf numFmtId="38" fontId="0" fillId="2" borderId="22" xfId="0" applyNumberFormat="1" applyFill="1" applyBorder="1"/>
    <xf numFmtId="38" fontId="0" fillId="2" borderId="18" xfId="0" applyNumberFormat="1" applyFill="1" applyBorder="1"/>
    <xf numFmtId="38" fontId="0" fillId="2" borderId="19" xfId="0" applyNumberFormat="1" applyFill="1" applyBorder="1"/>
    <xf numFmtId="38" fontId="0" fillId="2" borderId="20" xfId="0" applyNumberForma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7" fontId="13" fillId="2" borderId="7" xfId="1" applyNumberFormat="1" applyFont="1" applyFill="1" applyBorder="1"/>
    <xf numFmtId="166" fontId="13" fillId="2" borderId="7" xfId="1" applyNumberFormat="1" applyFont="1" applyFill="1" applyBorder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16" fillId="2" borderId="0" xfId="0" applyFont="1" applyFill="1" applyAlignment="1">
      <alignment vertical="top"/>
    </xf>
    <xf numFmtId="1" fontId="0" fillId="2" borderId="0" xfId="0" applyNumberFormat="1" applyFill="1"/>
    <xf numFmtId="0" fontId="2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1" fontId="3" fillId="6" borderId="11" xfId="0" applyNumberFormat="1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1" fontId="15" fillId="6" borderId="8" xfId="0" applyNumberFormat="1" applyFont="1" applyFill="1" applyBorder="1" applyAlignment="1">
      <alignment horizontal="center"/>
    </xf>
    <xf numFmtId="1" fontId="3" fillId="6" borderId="9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18" xfId="0" applyFont="1" applyFill="1" applyBorder="1" applyAlignment="1">
      <alignment horizontal="center"/>
    </xf>
    <xf numFmtId="166" fontId="3" fillId="5" borderId="19" xfId="0" applyNumberFormat="1" applyFont="1" applyFill="1" applyBorder="1" applyAlignment="1">
      <alignment horizontal="center"/>
    </xf>
    <xf numFmtId="166" fontId="15" fillId="5" borderId="19" xfId="0" applyNumberFormat="1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2" borderId="24" xfId="0" applyFont="1" applyFill="1" applyBorder="1"/>
    <xf numFmtId="0" fontId="0" fillId="2" borderId="24" xfId="0" applyFill="1" applyBorder="1"/>
    <xf numFmtId="44" fontId="0" fillId="2" borderId="0" xfId="3" applyFont="1" applyFill="1"/>
    <xf numFmtId="0" fontId="0" fillId="2" borderId="25" xfId="0" applyFill="1" applyBorder="1"/>
    <xf numFmtId="0" fontId="3" fillId="6" borderId="11" xfId="0" applyFont="1" applyFill="1" applyBorder="1" applyAlignment="1">
      <alignment horizontal="center"/>
    </xf>
    <xf numFmtId="3" fontId="0" fillId="2" borderId="15" xfId="1" applyNumberFormat="1" applyFont="1" applyFill="1" applyBorder="1"/>
    <xf numFmtId="3" fontId="0" fillId="2" borderId="16" xfId="1" applyNumberFormat="1" applyFont="1" applyFill="1" applyBorder="1"/>
    <xf numFmtId="3" fontId="0" fillId="2" borderId="17" xfId="1" applyNumberFormat="1" applyFont="1" applyFill="1" applyBorder="1"/>
    <xf numFmtId="3" fontId="0" fillId="2" borderId="21" xfId="1" applyNumberFormat="1" applyFont="1" applyFill="1" applyBorder="1"/>
    <xf numFmtId="3" fontId="0" fillId="2" borderId="7" xfId="1" applyNumberFormat="1" applyFont="1" applyFill="1" applyBorder="1"/>
    <xf numFmtId="3" fontId="0" fillId="2" borderId="22" xfId="1" applyNumberFormat="1" applyFont="1" applyFill="1" applyBorder="1"/>
    <xf numFmtId="3" fontId="0" fillId="2" borderId="18" xfId="1" applyNumberFormat="1" applyFont="1" applyFill="1" applyBorder="1"/>
    <xf numFmtId="3" fontId="0" fillId="2" borderId="19" xfId="1" applyNumberFormat="1" applyFont="1" applyFill="1" applyBorder="1"/>
    <xf numFmtId="3" fontId="0" fillId="2" borderId="20" xfId="1" applyNumberFormat="1" applyFont="1" applyFill="1" applyBorder="1"/>
    <xf numFmtId="169" fontId="0" fillId="2" borderId="0" xfId="0" applyNumberFormat="1" applyFill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D36FD-C453-4C1C-8BDE-D9DB2AB52B99}">
  <dimension ref="B1:F55"/>
  <sheetViews>
    <sheetView zoomScale="120" zoomScaleNormal="120" workbookViewId="0">
      <selection activeCell="B21" sqref="B21"/>
    </sheetView>
  </sheetViews>
  <sheetFormatPr defaultColWidth="8.85546875" defaultRowHeight="15" x14ac:dyDescent="0.25"/>
  <cols>
    <col min="1" max="1" width="5.140625" style="1" customWidth="1"/>
    <col min="2" max="2" width="33.85546875" style="1" customWidth="1"/>
    <col min="3" max="4" width="9.42578125" style="1" customWidth="1"/>
    <col min="5" max="5" width="32.28515625" style="1" bestFit="1" customWidth="1"/>
    <col min="6" max="11" width="9.42578125" style="1" customWidth="1"/>
    <col min="12" max="12" width="25.42578125" style="1" bestFit="1" customWidth="1"/>
    <col min="13" max="22" width="9.140625" style="1" bestFit="1" customWidth="1"/>
    <col min="23" max="16384" width="8.85546875" style="1"/>
  </cols>
  <sheetData>
    <row r="1" spans="2:6" x14ac:dyDescent="0.25">
      <c r="B1" s="68" t="s">
        <v>105</v>
      </c>
      <c r="C1" s="68"/>
      <c r="E1" s="68" t="s">
        <v>105</v>
      </c>
      <c r="F1" s="68"/>
    </row>
    <row r="2" spans="2:6" ht="6.75" customHeight="1" x14ac:dyDescent="0.25"/>
    <row r="3" spans="2:6" x14ac:dyDescent="0.25">
      <c r="B3" s="16" t="s">
        <v>41</v>
      </c>
      <c r="C3" s="17">
        <v>100</v>
      </c>
    </row>
    <row r="4" spans="2:6" x14ac:dyDescent="0.25">
      <c r="B4" s="16" t="s">
        <v>39</v>
      </c>
      <c r="C4" s="18">
        <v>0.55000000000000004</v>
      </c>
      <c r="E4" s="16" t="s">
        <v>39</v>
      </c>
      <c r="F4" s="18">
        <v>0.55000000000000004</v>
      </c>
    </row>
    <row r="5" spans="2:6" ht="4.5" customHeight="1" x14ac:dyDescent="0.25"/>
    <row r="6" spans="2:6" x14ac:dyDescent="0.25">
      <c r="B6" s="3" t="s">
        <v>50</v>
      </c>
      <c r="C6" s="11"/>
      <c r="E6" s="3" t="s">
        <v>50</v>
      </c>
    </row>
    <row r="7" spans="2:6" x14ac:dyDescent="0.25">
      <c r="B7" s="16" t="s">
        <v>51</v>
      </c>
      <c r="C7" s="43">
        <v>155</v>
      </c>
      <c r="E7" s="16" t="s">
        <v>51</v>
      </c>
      <c r="F7" s="65">
        <f>+C7</f>
        <v>155</v>
      </c>
    </row>
    <row r="8" spans="2:6" x14ac:dyDescent="0.25">
      <c r="B8" s="16" t="s">
        <v>33</v>
      </c>
      <c r="C8" s="43">
        <v>125</v>
      </c>
      <c r="E8" s="16" t="s">
        <v>34</v>
      </c>
      <c r="F8" s="43">
        <v>115</v>
      </c>
    </row>
    <row r="9" spans="2:6" ht="4.5" customHeight="1" x14ac:dyDescent="0.25"/>
    <row r="10" spans="2:6" x14ac:dyDescent="0.25">
      <c r="B10" s="16" t="s">
        <v>103</v>
      </c>
      <c r="C10" s="17">
        <v>475</v>
      </c>
      <c r="E10" s="16" t="s">
        <v>103</v>
      </c>
      <c r="F10" s="66">
        <f>+C10</f>
        <v>475</v>
      </c>
    </row>
    <row r="11" spans="2:6" ht="6" customHeight="1" x14ac:dyDescent="0.25"/>
    <row r="12" spans="2:6" x14ac:dyDescent="0.25">
      <c r="B12" s="33" t="s">
        <v>104</v>
      </c>
      <c r="C12" s="33"/>
      <c r="D12" s="3"/>
      <c r="E12" s="33" t="s">
        <v>40</v>
      </c>
      <c r="F12" s="14"/>
    </row>
    <row r="13" spans="2:6" x14ac:dyDescent="0.25">
      <c r="B13" s="14" t="s">
        <v>23</v>
      </c>
      <c r="C13" s="35">
        <v>43739</v>
      </c>
      <c r="E13" s="14" t="s">
        <v>25</v>
      </c>
      <c r="F13" s="37">
        <f>+C14</f>
        <v>43905</v>
      </c>
    </row>
    <row r="14" spans="2:6" x14ac:dyDescent="0.25">
      <c r="B14" s="14" t="s">
        <v>43</v>
      </c>
      <c r="C14" s="35">
        <v>43905</v>
      </c>
      <c r="E14" s="14" t="s">
        <v>43</v>
      </c>
      <c r="F14" s="35">
        <v>43952</v>
      </c>
    </row>
    <row r="15" spans="2:6" x14ac:dyDescent="0.25">
      <c r="B15" s="14" t="s">
        <v>65</v>
      </c>
      <c r="C15" s="36">
        <v>0</v>
      </c>
      <c r="E15" s="14" t="s">
        <v>65</v>
      </c>
      <c r="F15" s="36">
        <v>0</v>
      </c>
    </row>
    <row r="16" spans="2:6" x14ac:dyDescent="0.25">
      <c r="B16" s="14" t="s">
        <v>107</v>
      </c>
      <c r="C16" s="36">
        <v>1.3</v>
      </c>
      <c r="E16" s="14" t="s">
        <v>44</v>
      </c>
      <c r="F16" s="42">
        <v>2.2999999999999998</v>
      </c>
    </row>
    <row r="17" spans="2:6" x14ac:dyDescent="0.25">
      <c r="B17" s="14" t="s">
        <v>42</v>
      </c>
      <c r="C17" s="36">
        <v>1</v>
      </c>
      <c r="E17" s="14" t="s">
        <v>42</v>
      </c>
      <c r="F17" s="36">
        <v>1</v>
      </c>
    </row>
    <row r="18" spans="2:6" x14ac:dyDescent="0.25">
      <c r="B18" s="33" t="s">
        <v>36</v>
      </c>
      <c r="C18" s="34">
        <v>6.5000000000000002E-2</v>
      </c>
    </row>
    <row r="20" spans="2:6" x14ac:dyDescent="0.25">
      <c r="E20" s="10"/>
    </row>
    <row r="23" spans="2:6" x14ac:dyDescent="0.25">
      <c r="E23" s="7"/>
    </row>
    <row r="24" spans="2:6" x14ac:dyDescent="0.25">
      <c r="B24" s="14"/>
      <c r="C24" s="14"/>
    </row>
    <row r="55" spans="3:3" x14ac:dyDescent="0.25">
      <c r="C55" s="14"/>
    </row>
  </sheetData>
  <mergeCells count="2">
    <mergeCell ref="B1:C1"/>
    <mergeCell ref="E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34B1-D6BA-784F-B156-A767780B9B4A}">
  <dimension ref="B1:N32"/>
  <sheetViews>
    <sheetView workbookViewId="0">
      <selection activeCell="B2" sqref="B2:G2"/>
    </sheetView>
  </sheetViews>
  <sheetFormatPr defaultColWidth="11.42578125" defaultRowHeight="15" x14ac:dyDescent="0.25"/>
  <cols>
    <col min="1" max="1" width="11.42578125" style="1"/>
    <col min="2" max="7" width="9.85546875" style="1" customWidth="1"/>
    <col min="8" max="8" width="5.28515625" style="1" customWidth="1"/>
    <col min="9" max="16384" width="11.42578125" style="1"/>
  </cols>
  <sheetData>
    <row r="1" spans="2:14" ht="15.75" thickBot="1" x14ac:dyDescent="0.3"/>
    <row r="2" spans="2:14" ht="16.5" thickTop="1" thickBot="1" x14ac:dyDescent="0.3">
      <c r="B2" s="71" t="str">
        <f>'Stockers Margins'!J22</f>
        <v>Stockers ~700 Lb - Returns Sensitivity Analysis ($/head)</v>
      </c>
      <c r="C2" s="72"/>
      <c r="D2" s="72"/>
      <c r="E2" s="72"/>
      <c r="F2" s="72"/>
      <c r="G2" s="73"/>
      <c r="I2" s="71" t="str">
        <f>Feedyard!E25&amp;" Start Feed 700 Lb"</f>
        <v>Retained Feedyard Sensitivity Analysis - COG - ($/head) Start Feed 700 Lb</v>
      </c>
      <c r="J2" s="72"/>
      <c r="K2" s="72"/>
      <c r="L2" s="72"/>
      <c r="M2" s="72"/>
      <c r="N2" s="73"/>
    </row>
    <row r="3" spans="2:14" ht="15.75" thickTop="1" x14ac:dyDescent="0.25">
      <c r="B3" s="74" t="str">
        <f>'Stockers Margins'!J23</f>
        <v>Calf</v>
      </c>
      <c r="C3" s="80" t="str">
        <f>'Stockers Margins'!K23</f>
        <v>Sale Price (700 Lb)</v>
      </c>
      <c r="D3" s="81">
        <f>'Stockers Margins'!L23</f>
        <v>0</v>
      </c>
      <c r="E3" s="81">
        <f>'Stockers Margins'!M23</f>
        <v>0</v>
      </c>
      <c r="F3" s="81">
        <f>'Stockers Margins'!N23</f>
        <v>0</v>
      </c>
      <c r="G3" s="82">
        <f>'Stockers Margins'!O23</f>
        <v>0</v>
      </c>
      <c r="I3" s="74" t="str">
        <f>Feedyard!E26</f>
        <v xml:space="preserve">Cost of </v>
      </c>
      <c r="J3" s="80" t="str">
        <f>Feedyard!F26</f>
        <v>Sale Price Fed Cattle</v>
      </c>
      <c r="K3" s="81"/>
      <c r="L3" s="81"/>
      <c r="M3" s="81"/>
      <c r="N3" s="82"/>
    </row>
    <row r="4" spans="2:14" ht="15.75" thickBot="1" x14ac:dyDescent="0.3">
      <c r="B4" s="91" t="str">
        <f>'Stockers Margins'!J24</f>
        <v>Price</v>
      </c>
      <c r="C4" s="83">
        <f>'Stockers Margins'!K24</f>
        <v>100</v>
      </c>
      <c r="D4" s="84">
        <f>'Stockers Margins'!L24</f>
        <v>112.5</v>
      </c>
      <c r="E4" s="85">
        <f>'Stockers Margins'!M24</f>
        <v>125</v>
      </c>
      <c r="F4" s="84">
        <f>'Stockers Margins'!N24</f>
        <v>137.5</v>
      </c>
      <c r="G4" s="86">
        <f>'Stockers Margins'!O24</f>
        <v>150</v>
      </c>
      <c r="I4" s="91" t="str">
        <f>Feedyard!E27</f>
        <v>Gain</v>
      </c>
      <c r="J4" s="83">
        <f>Feedyard!F27</f>
        <v>90</v>
      </c>
      <c r="K4" s="84">
        <f>Feedyard!G27</f>
        <v>95</v>
      </c>
      <c r="L4" s="85">
        <f>Feedyard!H27</f>
        <v>100</v>
      </c>
      <c r="M4" s="84">
        <f>Feedyard!I27</f>
        <v>105</v>
      </c>
      <c r="N4" s="86">
        <f>Feedyard!J27</f>
        <v>110.00000000000001</v>
      </c>
    </row>
    <row r="5" spans="2:14" ht="15.75" thickTop="1" x14ac:dyDescent="0.25">
      <c r="B5" s="76">
        <f>'Stockers Margins'!J25</f>
        <v>139.5</v>
      </c>
      <c r="C5" s="92">
        <f>'Stockers Margins'!K25</f>
        <v>-165.09603775252535</v>
      </c>
      <c r="D5" s="93">
        <f>'Stockers Margins'!L25</f>
        <v>-79.60953775252537</v>
      </c>
      <c r="E5" s="93">
        <f>'Stockers Margins'!M25</f>
        <v>5.8769622474748395</v>
      </c>
      <c r="F5" s="93">
        <f>'Stockers Margins'!N25</f>
        <v>91.363462247474587</v>
      </c>
      <c r="G5" s="94">
        <f>'Stockers Margins'!O25</f>
        <v>176.84996224747456</v>
      </c>
      <c r="H5" s="70"/>
      <c r="I5" s="76">
        <f>Feedyard!E28</f>
        <v>64.8</v>
      </c>
      <c r="J5" s="92">
        <f>Feedyard!F28</f>
        <v>-97.45595000000003</v>
      </c>
      <c r="K5" s="93">
        <f>Feedyard!G28</f>
        <v>-26.878850000000057</v>
      </c>
      <c r="L5" s="93">
        <f>Feedyard!H28</f>
        <v>43.698250000000144</v>
      </c>
      <c r="M5" s="93">
        <f>Feedyard!I28</f>
        <v>114.27535000000012</v>
      </c>
      <c r="N5" s="94">
        <f>Feedyard!J28</f>
        <v>184.85245000000032</v>
      </c>
    </row>
    <row r="6" spans="2:14" x14ac:dyDescent="0.25">
      <c r="B6" s="77">
        <f>'Stockers Margins'!J26</f>
        <v>147.25</v>
      </c>
      <c r="C6" s="95">
        <f>'Stockers Margins'!K26</f>
        <v>-203.10494400252534</v>
      </c>
      <c r="D6" s="96">
        <f>'Stockers Margins'!L26</f>
        <v>-117.61844400252537</v>
      </c>
      <c r="E6" s="96">
        <f>'Stockers Margins'!M26</f>
        <v>-32.131944002525159</v>
      </c>
      <c r="F6" s="96">
        <f>'Stockers Margins'!N26</f>
        <v>53.354555997474591</v>
      </c>
      <c r="G6" s="97">
        <f>'Stockers Margins'!O26</f>
        <v>138.84105599747457</v>
      </c>
      <c r="H6" s="70"/>
      <c r="I6" s="77">
        <f>Feedyard!E29</f>
        <v>68.399999999999991</v>
      </c>
      <c r="J6" s="95">
        <f>Feedyard!F29</f>
        <v>-123.91595000000001</v>
      </c>
      <c r="K6" s="96">
        <f>Feedyard!G29</f>
        <v>-53.338850000000036</v>
      </c>
      <c r="L6" s="96">
        <f>Feedyard!H29</f>
        <v>17.238250000000164</v>
      </c>
      <c r="M6" s="96">
        <f>Feedyard!I29</f>
        <v>87.815350000000137</v>
      </c>
      <c r="N6" s="97">
        <f>Feedyard!J29</f>
        <v>158.39245000000034</v>
      </c>
    </row>
    <row r="7" spans="2:14" x14ac:dyDescent="0.25">
      <c r="B7" s="78">
        <f>'Stockers Margins'!J27</f>
        <v>155</v>
      </c>
      <c r="C7" s="95">
        <f>'Stockers Margins'!K27</f>
        <v>-241.11385025252534</v>
      </c>
      <c r="D7" s="96">
        <f>'Stockers Margins'!L27</f>
        <v>-155.62735025252536</v>
      </c>
      <c r="E7" s="96">
        <f>'Stockers Margins'!M27</f>
        <v>-70.140850252525155</v>
      </c>
      <c r="F7" s="96">
        <f>'Stockers Margins'!N27</f>
        <v>15.345649747474589</v>
      </c>
      <c r="G7" s="97">
        <f>'Stockers Margins'!O27</f>
        <v>100.83214974747457</v>
      </c>
      <c r="H7" s="70"/>
      <c r="I7" s="78">
        <f>Feedyard!E30</f>
        <v>72</v>
      </c>
      <c r="J7" s="95">
        <f>Feedyard!F30</f>
        <v>-150.3759500000001</v>
      </c>
      <c r="K7" s="96">
        <f>Feedyard!G30</f>
        <v>-79.79885000000013</v>
      </c>
      <c r="L7" s="96">
        <f>Feedyard!H30</f>
        <v>-9.2217499999999291</v>
      </c>
      <c r="M7" s="96">
        <f>Feedyard!I30</f>
        <v>61.355350000000044</v>
      </c>
      <c r="N7" s="97">
        <f>Feedyard!J30</f>
        <v>131.93245000000024</v>
      </c>
    </row>
    <row r="8" spans="2:14" x14ac:dyDescent="0.25">
      <c r="B8" s="77">
        <f>'Stockers Margins'!J28</f>
        <v>162.75</v>
      </c>
      <c r="C8" s="95">
        <f>'Stockers Margins'!K28</f>
        <v>-279.12275650252536</v>
      </c>
      <c r="D8" s="96">
        <f>'Stockers Margins'!L28</f>
        <v>-193.63625650252536</v>
      </c>
      <c r="E8" s="96">
        <f>'Stockers Margins'!M28</f>
        <v>-108.14975650252516</v>
      </c>
      <c r="F8" s="96">
        <f>'Stockers Margins'!N28</f>
        <v>-22.66325650252541</v>
      </c>
      <c r="G8" s="97">
        <f>'Stockers Margins'!O28</f>
        <v>62.823243497474564</v>
      </c>
      <c r="H8" s="70"/>
      <c r="I8" s="77">
        <f>Feedyard!E31</f>
        <v>75.600000000000009</v>
      </c>
      <c r="J8" s="95">
        <f>Feedyard!F31</f>
        <v>-176.83595000000014</v>
      </c>
      <c r="K8" s="96">
        <f>Feedyard!G31</f>
        <v>-106.25885000000017</v>
      </c>
      <c r="L8" s="96">
        <f>Feedyard!H31</f>
        <v>-35.681749999999965</v>
      </c>
      <c r="M8" s="96">
        <f>Feedyard!I31</f>
        <v>34.895350000000008</v>
      </c>
      <c r="N8" s="97">
        <f>Feedyard!J31</f>
        <v>105.47245000000021</v>
      </c>
    </row>
    <row r="9" spans="2:14" ht="15.75" thickBot="1" x14ac:dyDescent="0.3">
      <c r="B9" s="79">
        <f>'Stockers Margins'!J29</f>
        <v>170.5</v>
      </c>
      <c r="C9" s="98">
        <f>'Stockers Margins'!K29</f>
        <v>-317.13166275252536</v>
      </c>
      <c r="D9" s="99">
        <f>'Stockers Margins'!L29</f>
        <v>-231.64516275252538</v>
      </c>
      <c r="E9" s="99">
        <f>'Stockers Margins'!M29</f>
        <v>-146.15866275252517</v>
      </c>
      <c r="F9" s="99">
        <f>'Stockers Margins'!N29</f>
        <v>-60.672162752525409</v>
      </c>
      <c r="G9" s="100">
        <f>'Stockers Margins'!O29</f>
        <v>24.814337247474569</v>
      </c>
      <c r="H9" s="70"/>
      <c r="I9" s="79">
        <f>Feedyard!E32</f>
        <v>79.2</v>
      </c>
      <c r="J9" s="98">
        <f>Feedyard!F32</f>
        <v>-203.29595000000006</v>
      </c>
      <c r="K9" s="99">
        <f>Feedyard!G32</f>
        <v>-132.71885000000009</v>
      </c>
      <c r="L9" s="99">
        <f>Feedyard!H32</f>
        <v>-62.141749999999888</v>
      </c>
      <c r="M9" s="99">
        <f>Feedyard!I32</f>
        <v>8.4353500000000849</v>
      </c>
      <c r="N9" s="100">
        <f>Feedyard!J32</f>
        <v>79.012450000000285</v>
      </c>
    </row>
    <row r="10" spans="2:14" ht="15.75" thickTop="1" x14ac:dyDescent="0.25">
      <c r="B10" s="70"/>
    </row>
    <row r="11" spans="2:14" ht="15.75" thickBot="1" x14ac:dyDescent="0.3">
      <c r="B11" s="70"/>
    </row>
    <row r="12" spans="2:14" ht="16.5" thickTop="1" thickBot="1" x14ac:dyDescent="0.3">
      <c r="B12" s="71" t="str">
        <f>'Stockers Margins'!J31</f>
        <v>Stockers ~800 Lb - Returns Sensitivity Analysis ($/head)</v>
      </c>
      <c r="C12" s="72"/>
      <c r="D12" s="72"/>
      <c r="E12" s="72"/>
      <c r="F12" s="72"/>
      <c r="G12" s="73"/>
      <c r="I12" s="71" t="str">
        <f>Feedyard!E11&amp;" Start Feed 800 Lb"</f>
        <v>Retained Feedyard Sensitivity Analysis - COG - ($/Head) Start Feed 800 Lb</v>
      </c>
      <c r="J12" s="72">
        <f>Feedyard!F11</f>
        <v>0</v>
      </c>
      <c r="K12" s="72">
        <f>Feedyard!G11</f>
        <v>0</v>
      </c>
      <c r="L12" s="72">
        <f>Feedyard!H11</f>
        <v>0</v>
      </c>
      <c r="M12" s="72">
        <f>Feedyard!I11</f>
        <v>0</v>
      </c>
      <c r="N12" s="73">
        <f>Feedyard!J11</f>
        <v>0</v>
      </c>
    </row>
    <row r="13" spans="2:14" ht="15.75" thickTop="1" x14ac:dyDescent="0.25">
      <c r="B13" s="74" t="str">
        <f>'Stockers Margins'!J32</f>
        <v>Calf</v>
      </c>
      <c r="C13" s="80" t="str">
        <f>'Stockers Margins'!K32</f>
        <v>Sale Price (800 Lb)</v>
      </c>
      <c r="D13" s="81">
        <f>'Stockers Margins'!L32</f>
        <v>0</v>
      </c>
      <c r="E13" s="81">
        <f>'Stockers Margins'!M32</f>
        <v>0</v>
      </c>
      <c r="F13" s="81">
        <f>'Stockers Margins'!N32</f>
        <v>0</v>
      </c>
      <c r="G13" s="82">
        <f>'Stockers Margins'!O32</f>
        <v>0</v>
      </c>
      <c r="I13" s="74" t="str">
        <f>Feedyard!E12</f>
        <v xml:space="preserve">Cost of </v>
      </c>
      <c r="J13" s="80" t="str">
        <f>Feedyard!F12</f>
        <v>Sale Price Fed Cattle</v>
      </c>
      <c r="K13" s="81">
        <f>Feedyard!G12</f>
        <v>0</v>
      </c>
      <c r="L13" s="81">
        <f>Feedyard!H12</f>
        <v>0</v>
      </c>
      <c r="M13" s="81">
        <f>Feedyard!I12</f>
        <v>0</v>
      </c>
      <c r="N13" s="82">
        <f>Feedyard!J12</f>
        <v>0</v>
      </c>
    </row>
    <row r="14" spans="2:14" ht="15.75" thickBot="1" x14ac:dyDescent="0.3">
      <c r="B14" s="91" t="str">
        <f>'Stockers Margins'!J33</f>
        <v>Price</v>
      </c>
      <c r="C14" s="83">
        <f>'Stockers Margins'!K33</f>
        <v>92</v>
      </c>
      <c r="D14" s="84">
        <f>'Stockers Margins'!L33</f>
        <v>103.5</v>
      </c>
      <c r="E14" s="85">
        <f>'Stockers Margins'!M33</f>
        <v>115</v>
      </c>
      <c r="F14" s="84">
        <f>'Stockers Margins'!N33</f>
        <v>126.50000000000001</v>
      </c>
      <c r="G14" s="86">
        <f>'Stockers Margins'!O33</f>
        <v>138</v>
      </c>
      <c r="I14" s="91" t="str">
        <f>Feedyard!E13</f>
        <v>Gain</v>
      </c>
      <c r="J14" s="83">
        <f>Feedyard!F13</f>
        <v>90</v>
      </c>
      <c r="K14" s="84">
        <f>Feedyard!G13</f>
        <v>95</v>
      </c>
      <c r="L14" s="85">
        <f>Feedyard!H13</f>
        <v>100</v>
      </c>
      <c r="M14" s="84">
        <f>Feedyard!I13</f>
        <v>105</v>
      </c>
      <c r="N14" s="86">
        <f>Feedyard!J13</f>
        <v>110.00000000000001</v>
      </c>
    </row>
    <row r="15" spans="2:14" ht="15.75" thickTop="1" x14ac:dyDescent="0.25">
      <c r="B15" s="76">
        <f>'Stockers Margins'!J34</f>
        <v>139.5</v>
      </c>
      <c r="C15" s="92">
        <f>'Stockers Margins'!K34</f>
        <v>-212.41616333333326</v>
      </c>
      <c r="D15" s="93">
        <f>'Stockers Margins'!L34</f>
        <v>-121.46139833333348</v>
      </c>
      <c r="E15" s="93">
        <f>'Stockers Margins'!M34</f>
        <v>-30.506633333333522</v>
      </c>
      <c r="F15" s="93">
        <f>'Stockers Margins'!N34</f>
        <v>60.448131666666654</v>
      </c>
      <c r="G15" s="94">
        <f>'Stockers Margins'!O34</f>
        <v>151.40289666666661</v>
      </c>
      <c r="I15" s="76">
        <f>Feedyard!E14</f>
        <v>64.8</v>
      </c>
      <c r="J15" s="92">
        <f>Feedyard!F14</f>
        <v>-83.683987499999944</v>
      </c>
      <c r="K15" s="93">
        <f>Feedyard!G14</f>
        <v>-12.95343749999995</v>
      </c>
      <c r="L15" s="93">
        <f>Feedyard!H14</f>
        <v>57.777112500000044</v>
      </c>
      <c r="M15" s="93">
        <f>Feedyard!I14</f>
        <v>128.50766249999998</v>
      </c>
      <c r="N15" s="94">
        <f>Feedyard!J14</f>
        <v>199.2382125000002</v>
      </c>
    </row>
    <row r="16" spans="2:14" x14ac:dyDescent="0.25">
      <c r="B16" s="77">
        <f>'Stockers Margins'!J35</f>
        <v>147.25</v>
      </c>
      <c r="C16" s="95">
        <f>'Stockers Margins'!K35</f>
        <v>-250.82387166666658</v>
      </c>
      <c r="D16" s="96">
        <f>'Stockers Margins'!L35</f>
        <v>-159.8691066666668</v>
      </c>
      <c r="E16" s="96">
        <f>'Stockers Margins'!M35</f>
        <v>-68.914341666666857</v>
      </c>
      <c r="F16" s="96">
        <f>'Stockers Margins'!N35</f>
        <v>22.040423333333326</v>
      </c>
      <c r="G16" s="97">
        <f>'Stockers Margins'!O35</f>
        <v>112.99518833333327</v>
      </c>
      <c r="I16" s="77">
        <f>Feedyard!E15</f>
        <v>68.399999999999991</v>
      </c>
      <c r="J16" s="95">
        <f>Feedyard!F15</f>
        <v>-106.36398749999989</v>
      </c>
      <c r="K16" s="96">
        <f>Feedyard!G15</f>
        <v>-35.6334374999999</v>
      </c>
      <c r="L16" s="96">
        <f>Feedyard!H15</f>
        <v>35.097112500000094</v>
      </c>
      <c r="M16" s="96">
        <f>Feedyard!I15</f>
        <v>105.82766250000003</v>
      </c>
      <c r="N16" s="97">
        <f>Feedyard!J15</f>
        <v>176.55821250000025</v>
      </c>
    </row>
    <row r="17" spans="2:14" x14ac:dyDescent="0.25">
      <c r="B17" s="78">
        <f>'Stockers Margins'!J36</f>
        <v>155</v>
      </c>
      <c r="C17" s="95">
        <f>'Stockers Margins'!K36</f>
        <v>-289.23157999999989</v>
      </c>
      <c r="D17" s="96">
        <f>'Stockers Margins'!L36</f>
        <v>-198.27681500000014</v>
      </c>
      <c r="E17" s="96">
        <f>'Stockers Margins'!M36</f>
        <v>-107.32205000000019</v>
      </c>
      <c r="F17" s="96">
        <f>'Stockers Margins'!N36</f>
        <v>-16.36728500000001</v>
      </c>
      <c r="G17" s="97">
        <f>'Stockers Margins'!O36</f>
        <v>74.587479999999942</v>
      </c>
      <c r="I17" s="78">
        <f>Feedyard!E16</f>
        <v>72</v>
      </c>
      <c r="J17" s="95">
        <f>Feedyard!F16</f>
        <v>-129.04398749999996</v>
      </c>
      <c r="K17" s="96">
        <f>Feedyard!G16</f>
        <v>-58.313437499999964</v>
      </c>
      <c r="L17" s="96">
        <f>Feedyard!H16</f>
        <v>12.41711250000003</v>
      </c>
      <c r="M17" s="96">
        <f>Feedyard!I16</f>
        <v>83.147662499999967</v>
      </c>
      <c r="N17" s="97">
        <f>Feedyard!J16</f>
        <v>153.87821250000019</v>
      </c>
    </row>
    <row r="18" spans="2:14" x14ac:dyDescent="0.25">
      <c r="B18" s="77">
        <f>'Stockers Margins'!J37</f>
        <v>162.75</v>
      </c>
      <c r="C18" s="95">
        <f>'Stockers Margins'!K37</f>
        <v>-327.63928833333324</v>
      </c>
      <c r="D18" s="96">
        <f>'Stockers Margins'!L37</f>
        <v>-236.68452333333346</v>
      </c>
      <c r="E18" s="96">
        <f>'Stockers Margins'!M37</f>
        <v>-145.72975833333351</v>
      </c>
      <c r="F18" s="96">
        <f>'Stockers Margins'!N37</f>
        <v>-54.774993333333342</v>
      </c>
      <c r="G18" s="97">
        <f>'Stockers Margins'!O37</f>
        <v>36.17977166666661</v>
      </c>
      <c r="I18" s="77">
        <f>Feedyard!E17</f>
        <v>75.600000000000009</v>
      </c>
      <c r="J18" s="95">
        <f>Feedyard!F17</f>
        <v>-151.72398750000002</v>
      </c>
      <c r="K18" s="96">
        <f>Feedyard!G17</f>
        <v>-80.993437500000027</v>
      </c>
      <c r="L18" s="96">
        <f>Feedyard!H17</f>
        <v>-10.262887500000033</v>
      </c>
      <c r="M18" s="96">
        <f>Feedyard!I17</f>
        <v>60.467662499999904</v>
      </c>
      <c r="N18" s="97">
        <f>Feedyard!J17</f>
        <v>131.19821250000012</v>
      </c>
    </row>
    <row r="19" spans="2:14" ht="15.75" thickBot="1" x14ac:dyDescent="0.3">
      <c r="B19" s="79">
        <f>'Stockers Margins'!J38</f>
        <v>170.5</v>
      </c>
      <c r="C19" s="98">
        <f>'Stockers Margins'!K38</f>
        <v>-366.04699666666659</v>
      </c>
      <c r="D19" s="99">
        <f>'Stockers Margins'!L38</f>
        <v>-275.09223166666681</v>
      </c>
      <c r="E19" s="99">
        <f>'Stockers Margins'!M38</f>
        <v>-184.13746666666685</v>
      </c>
      <c r="F19" s="99">
        <f>'Stockers Margins'!N38</f>
        <v>-93.182701666666674</v>
      </c>
      <c r="G19" s="100">
        <f>'Stockers Margins'!O38</f>
        <v>-2.2279366666667215</v>
      </c>
      <c r="I19" s="79">
        <f>Feedyard!E18</f>
        <v>79.2</v>
      </c>
      <c r="J19" s="98">
        <f>Feedyard!F18</f>
        <v>-174.40398749999997</v>
      </c>
      <c r="K19" s="99">
        <f>Feedyard!G18</f>
        <v>-103.67343749999998</v>
      </c>
      <c r="L19" s="99">
        <f>Feedyard!H18</f>
        <v>-32.942887499999983</v>
      </c>
      <c r="M19" s="99">
        <f>Feedyard!I18</f>
        <v>37.787662499999954</v>
      </c>
      <c r="N19" s="100">
        <f>Feedyard!J18</f>
        <v>108.51821250000017</v>
      </c>
    </row>
    <row r="20" spans="2:14" ht="15.75" thickTop="1" x14ac:dyDescent="0.25">
      <c r="B20" s="70"/>
    </row>
    <row r="21" spans="2:14" ht="15.75" thickBot="1" x14ac:dyDescent="0.3">
      <c r="B21" s="70"/>
    </row>
    <row r="22" spans="2:14" ht="16.5" thickTop="1" thickBot="1" x14ac:dyDescent="0.3">
      <c r="B22" s="71" t="str">
        <f>'Stockers Margins'!J40</f>
        <v>Retaining Stockers to May on Wheat -  Sensitivity Analysis ($/head)</v>
      </c>
      <c r="C22" s="72"/>
      <c r="D22" s="72"/>
      <c r="E22" s="72"/>
      <c r="F22" s="72"/>
      <c r="G22" s="73"/>
    </row>
    <row r="23" spans="2:14" ht="15.75" thickTop="1" x14ac:dyDescent="0.25">
      <c r="B23" s="74" t="s">
        <v>108</v>
      </c>
      <c r="C23" s="80" t="str">
        <f>'Stockers Margins'!K41</f>
        <v>Sale Price (800 Lb)</v>
      </c>
      <c r="D23" s="81">
        <f>'Stockers Margins'!L41</f>
        <v>0</v>
      </c>
      <c r="E23" s="81">
        <f>'Stockers Margins'!M41</f>
        <v>0</v>
      </c>
      <c r="F23" s="81">
        <f>'Stockers Margins'!N41</f>
        <v>0</v>
      </c>
      <c r="G23" s="82">
        <f>'Stockers Margins'!O41</f>
        <v>0</v>
      </c>
    </row>
    <row r="24" spans="2:14" ht="15.75" thickBot="1" x14ac:dyDescent="0.3">
      <c r="B24" s="75" t="str">
        <f>'Stockers Margins'!J42</f>
        <v>Price</v>
      </c>
      <c r="C24" s="83">
        <f>'Stockers Margins'!K42</f>
        <v>103.5</v>
      </c>
      <c r="D24" s="84">
        <f>'Stockers Margins'!L42</f>
        <v>109.25</v>
      </c>
      <c r="E24" s="85">
        <f>'Stockers Margins'!M42</f>
        <v>115</v>
      </c>
      <c r="F24" s="84">
        <f>'Stockers Margins'!N42</f>
        <v>120.75</v>
      </c>
      <c r="G24" s="86">
        <f>'Stockers Margins'!O42</f>
        <v>126.50000000000001</v>
      </c>
    </row>
    <row r="25" spans="2:14" ht="15.75" thickTop="1" x14ac:dyDescent="0.25">
      <c r="B25" s="76">
        <f>'Stockers Margins'!J43</f>
        <v>108</v>
      </c>
      <c r="C25" s="54">
        <f>'Stockers Margins'!K43</f>
        <v>-19.441283080808269</v>
      </c>
      <c r="D25" s="55">
        <f>'Stockers Margins'!L43</f>
        <v>26.036099419191935</v>
      </c>
      <c r="E25" s="55">
        <f>'Stockers Margins'!M43</f>
        <v>71.51348191919169</v>
      </c>
      <c r="F25" s="55">
        <f>'Stockers Margins'!N43</f>
        <v>116.99086441919189</v>
      </c>
      <c r="G25" s="56">
        <f>'Stockers Margins'!O43</f>
        <v>162.46824691919187</v>
      </c>
    </row>
    <row r="26" spans="2:14" x14ac:dyDescent="0.25">
      <c r="B26" s="77">
        <f>'Stockers Margins'!J44</f>
        <v>114</v>
      </c>
      <c r="C26" s="57">
        <f>'Stockers Margins'!K44</f>
        <v>-61.338303080808132</v>
      </c>
      <c r="D26" s="58">
        <f>'Stockers Margins'!L44</f>
        <v>-15.86092058080793</v>
      </c>
      <c r="E26" s="58">
        <f>'Stockers Margins'!M44</f>
        <v>29.616461919191821</v>
      </c>
      <c r="F26" s="58">
        <f>'Stockers Margins'!N44</f>
        <v>75.093844419192024</v>
      </c>
      <c r="G26" s="59">
        <f>'Stockers Margins'!O44</f>
        <v>120.571226919192</v>
      </c>
    </row>
    <row r="27" spans="2:14" x14ac:dyDescent="0.25">
      <c r="B27" s="78">
        <f>'Stockers Margins'!J45</f>
        <v>120</v>
      </c>
      <c r="C27" s="57">
        <f>'Stockers Margins'!K45</f>
        <v>-103.23532308080823</v>
      </c>
      <c r="D27" s="58">
        <f>'Stockers Margins'!L45</f>
        <v>-57.757940580808025</v>
      </c>
      <c r="E27" s="58">
        <f>'Stockers Margins'!M45</f>
        <v>-12.280558080808275</v>
      </c>
      <c r="F27" s="58">
        <f>'Stockers Margins'!N45</f>
        <v>33.196824419191927</v>
      </c>
      <c r="G27" s="59">
        <f>'Stockers Margins'!O45</f>
        <v>78.674206919191903</v>
      </c>
    </row>
    <row r="28" spans="2:14" x14ac:dyDescent="0.25">
      <c r="B28" s="77">
        <f>'Stockers Margins'!J46</f>
        <v>126</v>
      </c>
      <c r="C28" s="57">
        <f>'Stockers Margins'!K46</f>
        <v>-145.1323430808082</v>
      </c>
      <c r="D28" s="58">
        <f>'Stockers Margins'!L46</f>
        <v>-99.654960580807995</v>
      </c>
      <c r="E28" s="58">
        <f>'Stockers Margins'!M46</f>
        <v>-54.177578080808253</v>
      </c>
      <c r="F28" s="58">
        <f>'Stockers Margins'!N46</f>
        <v>-8.7001955808080478</v>
      </c>
      <c r="G28" s="59">
        <f>'Stockers Margins'!O46</f>
        <v>36.777186919191927</v>
      </c>
    </row>
    <row r="29" spans="2:14" ht="15.75" thickBot="1" x14ac:dyDescent="0.3">
      <c r="B29" s="79">
        <f>'Stockers Margins'!J47</f>
        <v>132</v>
      </c>
      <c r="C29" s="60">
        <f>'Stockers Margins'!K47</f>
        <v>-187.02936308080831</v>
      </c>
      <c r="D29" s="61">
        <f>'Stockers Margins'!L47</f>
        <v>-141.55198058080811</v>
      </c>
      <c r="E29" s="61">
        <f>'Stockers Margins'!M47</f>
        <v>-96.074598080808343</v>
      </c>
      <c r="F29" s="61">
        <f>'Stockers Margins'!N47</f>
        <v>-50.59721558080814</v>
      </c>
      <c r="G29" s="62">
        <f>'Stockers Margins'!O47</f>
        <v>-5.1198330808081653</v>
      </c>
    </row>
    <row r="30" spans="2:14" ht="15.75" thickTop="1" x14ac:dyDescent="0.25">
      <c r="B30" s="70"/>
    </row>
    <row r="31" spans="2:14" x14ac:dyDescent="0.25">
      <c r="B31" s="70"/>
    </row>
    <row r="32" spans="2:14" x14ac:dyDescent="0.25">
      <c r="B32" s="70"/>
    </row>
  </sheetData>
  <mergeCells count="10">
    <mergeCell ref="B22:G22"/>
    <mergeCell ref="C23:G23"/>
    <mergeCell ref="I12:N12"/>
    <mergeCell ref="J13:N13"/>
    <mergeCell ref="I2:N2"/>
    <mergeCell ref="J3:N3"/>
    <mergeCell ref="B2:G2"/>
    <mergeCell ref="C3:G3"/>
    <mergeCell ref="B12:G12"/>
    <mergeCell ref="C13:G13"/>
  </mergeCells>
  <conditionalFormatting sqref="C25:G29">
    <cfRule type="colorScale" priority="11">
      <colorScale>
        <cfvo type="min"/>
        <cfvo type="max"/>
        <color rgb="FFFCFCFF"/>
        <color rgb="FF63BE7B"/>
      </colorScale>
    </cfRule>
  </conditionalFormatting>
  <conditionalFormatting sqref="C5:G9">
    <cfRule type="colorScale" priority="7">
      <colorScale>
        <cfvo type="min"/>
        <cfvo type="max"/>
        <color theme="0" tint="-4.9989318521683403E-2"/>
        <color theme="0" tint="-0.34998626667073579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C15:G19">
    <cfRule type="colorScale" priority="5">
      <colorScale>
        <cfvo type="min"/>
        <cfvo type="max"/>
        <color theme="0" tint="-4.9989318521683403E-2"/>
        <color theme="0" tint="-0.34998626667073579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J5:N9">
    <cfRule type="colorScale" priority="3">
      <colorScale>
        <cfvo type="min"/>
        <cfvo type="max"/>
        <color theme="0" tint="-4.9989318521683403E-2"/>
        <color theme="0" tint="-0.34998626667073579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J15:N19">
    <cfRule type="colorScale" priority="1">
      <colorScale>
        <cfvo type="min"/>
        <cfvo type="max"/>
        <color theme="0" tint="-4.9989318521683403E-2"/>
        <color theme="0" tint="-0.34998626667073579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0AEC0-16B5-4F67-A6AF-159947014112}">
  <dimension ref="B2:O48"/>
  <sheetViews>
    <sheetView workbookViewId="0">
      <selection activeCell="E31" sqref="E31"/>
    </sheetView>
  </sheetViews>
  <sheetFormatPr defaultColWidth="9.140625" defaultRowHeight="15" x14ac:dyDescent="0.25"/>
  <cols>
    <col min="1" max="1" width="8.42578125" style="1" customWidth="1"/>
    <col min="2" max="2" width="42.42578125" style="1" bestFit="1" customWidth="1"/>
    <col min="3" max="3" width="9.85546875" style="1" bestFit="1" customWidth="1"/>
    <col min="4" max="4" width="3.140625" style="1" customWidth="1"/>
    <col min="5" max="5" width="43.28515625" style="1" bestFit="1" customWidth="1"/>
    <col min="6" max="6" width="8.85546875" style="1"/>
    <col min="7" max="7" width="2.42578125" style="1" customWidth="1"/>
    <col min="8" max="9" width="9.140625" style="1"/>
    <col min="10" max="10" width="10.140625" style="3" customWidth="1"/>
    <col min="11" max="15" width="10.140625" style="1" customWidth="1"/>
    <col min="16" max="16384" width="9.140625" style="1"/>
  </cols>
  <sheetData>
    <row r="2" spans="2:6" x14ac:dyDescent="0.25">
      <c r="B2" s="63" t="s">
        <v>101</v>
      </c>
      <c r="C2" s="64"/>
      <c r="E2" s="63" t="s">
        <v>102</v>
      </c>
      <c r="F2" s="64"/>
    </row>
    <row r="3" spans="2:6" hidden="1" x14ac:dyDescent="0.25">
      <c r="B3" s="12" t="s">
        <v>66</v>
      </c>
      <c r="C3" s="31">
        <f>+'Stockers March1st'!D4</f>
        <v>99</v>
      </c>
      <c r="E3" s="12" t="s">
        <v>66</v>
      </c>
      <c r="F3" s="31">
        <f>+'Stockers 800 Lb'!D4</f>
        <v>99</v>
      </c>
    </row>
    <row r="4" spans="2:6" x14ac:dyDescent="0.25">
      <c r="B4" s="12" t="s">
        <v>32</v>
      </c>
      <c r="C4" s="38">
        <f>+'Stockers March1st'!E4</f>
        <v>690.8</v>
      </c>
      <c r="E4" s="12" t="s">
        <v>32</v>
      </c>
      <c r="F4" s="38">
        <f>+'Stockers 800 Lb'!E4</f>
        <v>798.9</v>
      </c>
    </row>
    <row r="5" spans="2:6" x14ac:dyDescent="0.25">
      <c r="B5" s="12" t="s">
        <v>71</v>
      </c>
      <c r="C5" s="40">
        <f>+Assumptions!C8</f>
        <v>125</v>
      </c>
      <c r="E5" s="12" t="s">
        <v>71</v>
      </c>
      <c r="F5" s="40">
        <f>+Assumptions!F8</f>
        <v>115</v>
      </c>
    </row>
    <row r="6" spans="2:6" x14ac:dyDescent="0.25">
      <c r="B6" s="29" t="s">
        <v>30</v>
      </c>
      <c r="C6" s="41">
        <f>+'Stockers March1st'!I4</f>
        <v>863.5</v>
      </c>
      <c r="E6" s="29" t="s">
        <v>30</v>
      </c>
      <c r="F6" s="41">
        <f>+'Stockers 800 Lb'!I6</f>
        <v>918.73500000000001</v>
      </c>
    </row>
    <row r="7" spans="2:6" hidden="1" x14ac:dyDescent="0.25">
      <c r="B7" s="12"/>
      <c r="C7" s="13"/>
      <c r="E7" s="12"/>
      <c r="F7" s="13"/>
    </row>
    <row r="8" spans="2:6" x14ac:dyDescent="0.25">
      <c r="B8" s="12" t="s">
        <v>27</v>
      </c>
      <c r="C8" s="38">
        <f>+'Stockers March1st'!I9</f>
        <v>743.68686868686871</v>
      </c>
      <c r="E8" s="12" t="s">
        <v>27</v>
      </c>
      <c r="F8" s="38">
        <f>'Stockers Margins'!C8</f>
        <v>743.68686868686871</v>
      </c>
    </row>
    <row r="9" spans="2:6" x14ac:dyDescent="0.25">
      <c r="B9" s="12" t="s">
        <v>26</v>
      </c>
      <c r="C9" s="38">
        <f>+'Stockers March1st'!I11</f>
        <v>118.68999999999998</v>
      </c>
      <c r="E9" s="12" t="s">
        <v>26</v>
      </c>
      <c r="F9" s="38">
        <f>+'Stockers 800 Lb'!I11</f>
        <v>178.14499999999998</v>
      </c>
    </row>
    <row r="10" spans="2:6" x14ac:dyDescent="0.25">
      <c r="B10" s="12" t="s">
        <v>67</v>
      </c>
      <c r="C10" s="38">
        <f>+SUM('Stockers March1st'!I12:I18)</f>
        <v>46.137725252525257</v>
      </c>
      <c r="E10" s="12" t="s">
        <v>67</v>
      </c>
      <c r="F10" s="38">
        <f>+SUM('Stockers 800 Lb'!I12:I18)</f>
        <v>70.57053333333333</v>
      </c>
    </row>
    <row r="11" spans="2:6" x14ac:dyDescent="0.25">
      <c r="B11" s="12" t="s">
        <v>28</v>
      </c>
      <c r="C11" s="38">
        <f>+'Stockers March1st'!I19</f>
        <v>24.169823232323232</v>
      </c>
      <c r="E11" s="12" t="s">
        <v>28</v>
      </c>
      <c r="F11" s="38">
        <f>+'Stockers 800 Lb'!I19</f>
        <v>32.226430976430976</v>
      </c>
    </row>
    <row r="12" spans="2:6" x14ac:dyDescent="0.25">
      <c r="B12" s="29" t="s">
        <v>37</v>
      </c>
      <c r="C12" s="41">
        <f>SUM(C8:C11)</f>
        <v>932.68441717171709</v>
      </c>
      <c r="E12" s="29" t="s">
        <v>37</v>
      </c>
      <c r="F12" s="41">
        <f>+'Stockers 800 Lb'!I20</f>
        <v>1024.628832996633</v>
      </c>
    </row>
    <row r="13" spans="2:6" x14ac:dyDescent="0.25">
      <c r="B13" s="29" t="s">
        <v>29</v>
      </c>
      <c r="C13" s="41">
        <f>C6-C12</f>
        <v>-69.184417171717087</v>
      </c>
      <c r="E13" s="29" t="s">
        <v>29</v>
      </c>
      <c r="F13" s="41">
        <f>+'Stockers 800 Lb'!I22</f>
        <v>-105.89383299663302</v>
      </c>
    </row>
    <row r="14" spans="2:6" hidden="1" x14ac:dyDescent="0.25">
      <c r="B14" s="29" t="s">
        <v>70</v>
      </c>
      <c r="C14" s="41">
        <f>C13*C3</f>
        <v>-6849.257299999992</v>
      </c>
      <c r="E14" s="29" t="s">
        <v>70</v>
      </c>
      <c r="F14" s="41">
        <f>+'Stockers 800 Lb'!H22</f>
        <v>-10483.573666666663</v>
      </c>
    </row>
    <row r="15" spans="2:6" hidden="1" x14ac:dyDescent="0.25">
      <c r="B15" s="12"/>
      <c r="C15" s="13"/>
      <c r="E15" s="12"/>
      <c r="F15" s="13"/>
    </row>
    <row r="16" spans="2:6" hidden="1" x14ac:dyDescent="0.25">
      <c r="B16" s="12" t="s">
        <v>8</v>
      </c>
      <c r="C16" s="28">
        <f>+SUM('Stockers March1st'!I25:I27)</f>
        <v>0</v>
      </c>
      <c r="E16" s="12" t="s">
        <v>8</v>
      </c>
      <c r="F16" s="28">
        <f>+'Stockers 800 Lb'!I28</f>
        <v>0</v>
      </c>
    </row>
    <row r="17" spans="2:15" hidden="1" x14ac:dyDescent="0.25">
      <c r="B17" s="12"/>
      <c r="C17" s="13"/>
      <c r="E17" s="12"/>
      <c r="F17" s="13"/>
    </row>
    <row r="18" spans="2:15" hidden="1" x14ac:dyDescent="0.25">
      <c r="B18" s="29" t="s">
        <v>69</v>
      </c>
      <c r="C18" s="41">
        <f>+'Stockers March1st'!I32</f>
        <v>-69.1844171717172</v>
      </c>
      <c r="E18" s="29" t="s">
        <v>69</v>
      </c>
      <c r="F18" s="41">
        <f>+'Stockers 800 Lb'!I32</f>
        <v>-105.89383299663302</v>
      </c>
    </row>
    <row r="19" spans="2:15" ht="8.25" customHeight="1" x14ac:dyDescent="0.25">
      <c r="B19" s="12"/>
      <c r="C19" s="13"/>
      <c r="E19" s="12"/>
      <c r="F19" s="13"/>
    </row>
    <row r="20" spans="2:15" x14ac:dyDescent="0.25">
      <c r="B20" s="39" t="s">
        <v>19</v>
      </c>
      <c r="C20" s="41">
        <f>C12/C4*100</f>
        <v>135.01511539833774</v>
      </c>
      <c r="E20" s="39" t="s">
        <v>19</v>
      </c>
      <c r="F20" s="41">
        <f>F12/F4*100</f>
        <v>128.25495468727414</v>
      </c>
    </row>
    <row r="21" spans="2:15" ht="4.5" customHeight="1" thickBot="1" x14ac:dyDescent="0.3">
      <c r="B21" s="12"/>
      <c r="C21" s="13"/>
      <c r="E21" s="12"/>
      <c r="F21" s="13"/>
    </row>
    <row r="22" spans="2:15" ht="16.5" thickTop="1" thickBot="1" x14ac:dyDescent="0.3">
      <c r="B22" s="12" t="s">
        <v>21</v>
      </c>
      <c r="C22" s="38">
        <f>+'Stockers March1st'!I36</f>
        <v>215.79999999999995</v>
      </c>
      <c r="E22" s="12" t="s">
        <v>21</v>
      </c>
      <c r="F22" s="38">
        <f>+'Stockers 800 Lb'!I36</f>
        <v>323.89999999999998</v>
      </c>
      <c r="J22" s="71" t="s">
        <v>112</v>
      </c>
      <c r="K22" s="72"/>
      <c r="L22" s="72"/>
      <c r="M22" s="72"/>
      <c r="N22" s="72"/>
      <c r="O22" s="73"/>
    </row>
    <row r="23" spans="2:15" ht="16.5" thickTop="1" thickBot="1" x14ac:dyDescent="0.3">
      <c r="B23" s="30" t="s">
        <v>73</v>
      </c>
      <c r="C23" s="51">
        <f>+'Stockers March1st'!I37</f>
        <v>87.57995759260821</v>
      </c>
      <c r="E23" s="30" t="s">
        <v>73</v>
      </c>
      <c r="F23" s="51">
        <f>+'Stockers 800 Lb'!I37</f>
        <v>86.737253568930029</v>
      </c>
      <c r="J23" s="74" t="s">
        <v>76</v>
      </c>
      <c r="K23" s="80" t="s">
        <v>75</v>
      </c>
      <c r="L23" s="81"/>
      <c r="M23" s="81"/>
      <c r="N23" s="81"/>
      <c r="O23" s="82"/>
    </row>
    <row r="24" spans="2:15" ht="15.75" thickBot="1" x14ac:dyDescent="0.3">
      <c r="B24" s="69" t="s">
        <v>106</v>
      </c>
      <c r="E24" s="69" t="s">
        <v>106</v>
      </c>
      <c r="J24" s="91" t="s">
        <v>24</v>
      </c>
      <c r="K24" s="83">
        <f>+M24*0.8</f>
        <v>100</v>
      </c>
      <c r="L24" s="84">
        <f>+M24*0.9</f>
        <v>112.5</v>
      </c>
      <c r="M24" s="85">
        <f>+C5</f>
        <v>125</v>
      </c>
      <c r="N24" s="84">
        <f>+M24*1.1</f>
        <v>137.5</v>
      </c>
      <c r="O24" s="86">
        <f>+M24*1.2</f>
        <v>150</v>
      </c>
    </row>
    <row r="25" spans="2:15" ht="16.5" thickTop="1" thickBot="1" x14ac:dyDescent="0.3">
      <c r="B25" s="52" t="s">
        <v>72</v>
      </c>
      <c r="C25" s="53">
        <f>+(C8+C18)/Assumptions!C10*100</f>
        <v>142.00051610845296</v>
      </c>
      <c r="E25" s="52" t="s">
        <v>72</v>
      </c>
      <c r="F25" s="53">
        <f>+(F8+F18)/Assumptions!C10*100</f>
        <v>134.27221804004961</v>
      </c>
      <c r="J25" s="76">
        <f>+J27*0.9</f>
        <v>139.5</v>
      </c>
      <c r="K25" s="92">
        <f>+((K$24/100)*$C$4*((100-Assumptions!$C$17)/100)*((100-Assumptions!$C$15)/100))-SUM($C$9:$C$10)-($J25/100)*Assumptions!$C$10-Assumptions!$C$18*(6/12)*('Stockers Margins'!$J25*Assumptions!$C$10/100)</f>
        <v>-165.09603775252535</v>
      </c>
      <c r="L25" s="93">
        <f>+((L$24/100)*$C$4*((100-Assumptions!$C$17)/100)*((100-Assumptions!$C$15)/100))-SUM($C$9:$C$10)-($J25/100)*Assumptions!$C$10-Assumptions!$C$18*(6/12)*('Stockers Margins'!$J25*Assumptions!$C$10/100)</f>
        <v>-79.60953775252537</v>
      </c>
      <c r="M25" s="93">
        <f>+((M$24/100)*$C$4*((100-Assumptions!$C$17)/100)*((100-Assumptions!$C$15)/100))-SUM($C$9:$C$10)-($J25/100)*Assumptions!$C$10-Assumptions!$C$18*(6/12)*('Stockers Margins'!$J25*Assumptions!$C$10/100)</f>
        <v>5.8769622474748395</v>
      </c>
      <c r="N25" s="93">
        <f>+((N$24/100)*$C$4*((100-Assumptions!$C$17)/100)*((100-Assumptions!$C$15)/100))-SUM($C$9:$C$10)-($J25/100)*Assumptions!$C$10-Assumptions!$C$18*(6/12)*('Stockers Margins'!$J25*Assumptions!$C$10/100)</f>
        <v>91.363462247474587</v>
      </c>
      <c r="O25" s="94">
        <f>+((O$24/100)*$C$4*((100-Assumptions!$C$17)/100)*((100-Assumptions!$C$15)/100))-SUM($C$9:$C$10)-($J25/100)*Assumptions!$C$10-Assumptions!$C$18*(6/12)*('Stockers Margins'!$J25*Assumptions!$C$10/100)</f>
        <v>176.84996224747456</v>
      </c>
    </row>
    <row r="26" spans="2:15" ht="15.75" thickBot="1" x14ac:dyDescent="0.3">
      <c r="B26" s="30" t="s">
        <v>74</v>
      </c>
      <c r="C26" s="51">
        <f>+((F8+SUM(C9:C11)+F18)/C4)*100</f>
        <v>119.68595601839667</v>
      </c>
      <c r="J26" s="77">
        <f>+J27*0.95</f>
        <v>147.25</v>
      </c>
      <c r="K26" s="95">
        <f>+((K$24/100)*$C$4*((100-Assumptions!$C$17)/100)*((100-Assumptions!$C$15)/100))-SUM($C$9:$C$10)-($J26/100)*Assumptions!$C$10-Assumptions!$C$18*(6/12)*('Stockers Margins'!$J26*Assumptions!$C$10/100)</f>
        <v>-203.10494400252534</v>
      </c>
      <c r="L26" s="96">
        <f>+((L$24/100)*$C$4*((100-Assumptions!$C$17)/100)*((100-Assumptions!$C$15)/100))-SUM($C$9:$C$10)-($J26/100)*Assumptions!$C$10-Assumptions!$C$18*(6/12)*('Stockers Margins'!$J26*Assumptions!$C$10/100)</f>
        <v>-117.61844400252537</v>
      </c>
      <c r="M26" s="96">
        <f>+((M$24/100)*$C$4*((100-Assumptions!$C$17)/100)*((100-Assumptions!$C$15)/100))-SUM($C$9:$C$10)-($J26/100)*Assumptions!$C$10-Assumptions!$C$18*(6/12)*('Stockers Margins'!$J26*Assumptions!$C$10/100)</f>
        <v>-32.131944002525159</v>
      </c>
      <c r="N26" s="96">
        <f>+((N$24/100)*$C$4*((100-Assumptions!$C$17)/100)*((100-Assumptions!$C$15)/100))-SUM($C$9:$C$10)-($J26/100)*Assumptions!$C$10-Assumptions!$C$18*(6/12)*('Stockers Margins'!$J26*Assumptions!$C$10/100)</f>
        <v>53.354555997474591</v>
      </c>
      <c r="O26" s="97">
        <f>+((O$24/100)*$C$4*((100-Assumptions!$C$17)/100)*((100-Assumptions!$C$15)/100))-SUM($C$9:$C$10)-($J26/100)*Assumptions!$C$10-Assumptions!$C$18*(6/12)*('Stockers Margins'!$J26*Assumptions!$C$10/100)</f>
        <v>138.84105599747457</v>
      </c>
    </row>
    <row r="27" spans="2:15" x14ac:dyDescent="0.25">
      <c r="J27" s="78">
        <f>+Assumptions!C7</f>
        <v>155</v>
      </c>
      <c r="K27" s="95">
        <f>+((K$24/100)*$C$4*((100-Assumptions!$C$17)/100)*((100-Assumptions!$C$15)/100))-SUM($C$9:$C$10)-($J27/100)*Assumptions!$C$10-Assumptions!$C$18*(6/12)*('Stockers Margins'!$J27*Assumptions!$C$10/100)</f>
        <v>-241.11385025252534</v>
      </c>
      <c r="L27" s="96">
        <f>+((L$24/100)*$C$4*((100-Assumptions!$C$17)/100)*((100-Assumptions!$C$15)/100))-SUM($C$9:$C$10)-($J27/100)*Assumptions!$C$10-Assumptions!$C$18*(6/12)*('Stockers Margins'!$J27*Assumptions!$C$10/100)</f>
        <v>-155.62735025252536</v>
      </c>
      <c r="M27" s="96">
        <f>+((M$24/100)*$C$4*((100-Assumptions!$C$17)/100)*((100-Assumptions!$C$15)/100))-SUM($C$9:$C$10)-($J27/100)*Assumptions!$C$10-Assumptions!$C$18*(6/12)*('Stockers Margins'!$J27*Assumptions!$C$10/100)</f>
        <v>-70.140850252525155</v>
      </c>
      <c r="N27" s="96">
        <f>+((N$24/100)*$C$4*((100-Assumptions!$C$17)/100)*((100-Assumptions!$C$15)/100))-SUM($C$9:$C$10)-($J27/100)*Assumptions!$C$10-Assumptions!$C$18*(6/12)*('Stockers Margins'!$J27*Assumptions!$C$10/100)</f>
        <v>15.345649747474589</v>
      </c>
      <c r="O27" s="97">
        <f>+((O$24/100)*$C$4*((100-Assumptions!$C$17)/100)*((100-Assumptions!$C$15)/100))-SUM($C$9:$C$10)-($J27/100)*Assumptions!$C$10-Assumptions!$C$18*(6/12)*('Stockers Margins'!$J27*Assumptions!$C$10/100)</f>
        <v>100.83214974747457</v>
      </c>
    </row>
    <row r="28" spans="2:15" x14ac:dyDescent="0.25">
      <c r="J28" s="77">
        <f>+J27*1.05</f>
        <v>162.75</v>
      </c>
      <c r="K28" s="95">
        <f>+((K$24/100)*$C$4*((100-Assumptions!$C$17)/100)*((100-Assumptions!$C$15)/100))-SUM($C$9:$C$10)-($J28/100)*Assumptions!$C$10-Assumptions!$C$18*(6/12)*('Stockers Margins'!$J28*Assumptions!$C$10/100)</f>
        <v>-279.12275650252536</v>
      </c>
      <c r="L28" s="96">
        <f>+((L$24/100)*$C$4*((100-Assumptions!$C$17)/100)*((100-Assumptions!$C$15)/100))-SUM($C$9:$C$10)-($J28/100)*Assumptions!$C$10-Assumptions!$C$18*(6/12)*('Stockers Margins'!$J28*Assumptions!$C$10/100)</f>
        <v>-193.63625650252536</v>
      </c>
      <c r="M28" s="96">
        <f>+((M$24/100)*$C$4*((100-Assumptions!$C$17)/100)*((100-Assumptions!$C$15)/100))-SUM($C$9:$C$10)-($J28/100)*Assumptions!$C$10-Assumptions!$C$18*(6/12)*('Stockers Margins'!$J28*Assumptions!$C$10/100)</f>
        <v>-108.14975650252516</v>
      </c>
      <c r="N28" s="96">
        <f>+((N$24/100)*$C$4*((100-Assumptions!$C$17)/100)*((100-Assumptions!$C$15)/100))-SUM($C$9:$C$10)-($J28/100)*Assumptions!$C$10-Assumptions!$C$18*(6/12)*('Stockers Margins'!$J28*Assumptions!$C$10/100)</f>
        <v>-22.66325650252541</v>
      </c>
      <c r="O28" s="97">
        <f>+((O$24/100)*$C$4*((100-Assumptions!$C$17)/100)*((100-Assumptions!$C$15)/100))-SUM($C$9:$C$10)-($J28/100)*Assumptions!$C$10-Assumptions!$C$18*(6/12)*('Stockers Margins'!$J28*Assumptions!$C$10/100)</f>
        <v>62.823243497474564</v>
      </c>
    </row>
    <row r="29" spans="2:15" ht="15.75" thickBot="1" x14ac:dyDescent="0.3">
      <c r="J29" s="79">
        <f>+J27*1.1</f>
        <v>170.5</v>
      </c>
      <c r="K29" s="98">
        <f>+((K$24/100)*$C$4*((100-Assumptions!$C$17)/100)*((100-Assumptions!$C$15)/100))-SUM($C$9:$C$10)-($J29/100)*Assumptions!$C$10-Assumptions!$C$18*(6/12)*('Stockers Margins'!$J29*Assumptions!$C$10/100)</f>
        <v>-317.13166275252536</v>
      </c>
      <c r="L29" s="99">
        <f>+((L$24/100)*$C$4*((100-Assumptions!$C$17)/100)*((100-Assumptions!$C$15)/100))-SUM($C$9:$C$10)-($J29/100)*Assumptions!$C$10-Assumptions!$C$18*(6/12)*('Stockers Margins'!$J29*Assumptions!$C$10/100)</f>
        <v>-231.64516275252538</v>
      </c>
      <c r="M29" s="99">
        <f>+((M$24/100)*$C$4*((100-Assumptions!$C$17)/100)*((100-Assumptions!$C$15)/100))-SUM($C$9:$C$10)-($J29/100)*Assumptions!$C$10-Assumptions!$C$18*(6/12)*('Stockers Margins'!$J29*Assumptions!$C$10/100)</f>
        <v>-146.15866275252517</v>
      </c>
      <c r="N29" s="99">
        <f>+((N$24/100)*$C$4*((100-Assumptions!$C$17)/100)*((100-Assumptions!$C$15)/100))-SUM($C$9:$C$10)-($J29/100)*Assumptions!$C$10-Assumptions!$C$18*(6/12)*('Stockers Margins'!$J29*Assumptions!$C$10/100)</f>
        <v>-60.672162752525409</v>
      </c>
      <c r="O29" s="100">
        <f>+((O$24/100)*$C$4*((100-Assumptions!$C$17)/100)*((100-Assumptions!$C$15)/100))-SUM($C$9:$C$10)-($J29/100)*Assumptions!$C$10-Assumptions!$C$18*(6/12)*('Stockers Margins'!$J29*Assumptions!$C$10/100)</f>
        <v>24.814337247474569</v>
      </c>
    </row>
    <row r="30" spans="2:15" ht="16.5" thickTop="1" thickBot="1" x14ac:dyDescent="0.3"/>
    <row r="31" spans="2:15" ht="16.5" thickTop="1" thickBot="1" x14ac:dyDescent="0.3">
      <c r="J31" s="71" t="s">
        <v>113</v>
      </c>
      <c r="K31" s="72"/>
      <c r="L31" s="72"/>
      <c r="M31" s="72"/>
      <c r="N31" s="72"/>
      <c r="O31" s="73"/>
    </row>
    <row r="32" spans="2:15" ht="15.75" thickTop="1" x14ac:dyDescent="0.25">
      <c r="J32" s="74" t="s">
        <v>76</v>
      </c>
      <c r="K32" s="80" t="s">
        <v>77</v>
      </c>
      <c r="L32" s="81"/>
      <c r="M32" s="81"/>
      <c r="N32" s="81"/>
      <c r="O32" s="82"/>
    </row>
    <row r="33" spans="10:15" ht="15.75" thickBot="1" x14ac:dyDescent="0.3">
      <c r="J33" s="91" t="s">
        <v>24</v>
      </c>
      <c r="K33" s="83">
        <f>+M33*0.8</f>
        <v>92</v>
      </c>
      <c r="L33" s="84">
        <f>+M33*0.9</f>
        <v>103.5</v>
      </c>
      <c r="M33" s="85">
        <v>115</v>
      </c>
      <c r="N33" s="84">
        <f>+M33*1.1</f>
        <v>126.50000000000001</v>
      </c>
      <c r="O33" s="86">
        <f>+M33*1.2</f>
        <v>138</v>
      </c>
    </row>
    <row r="34" spans="10:15" ht="15.75" thickTop="1" x14ac:dyDescent="0.25">
      <c r="J34" s="76">
        <f>+J36*0.9</f>
        <v>139.5</v>
      </c>
      <c r="K34" s="92">
        <f>+((K$33/100)*$F$4*((100-Assumptions!$F$17)/100)*((100-Assumptions!$F$15)/100))-SUM($F$9:$F$10)-($J34/100)*Assumptions!$C$10-Assumptions!$C$18*(8/12)*('Stockers Margins'!$J34*Assumptions!$C$10/100)</f>
        <v>-212.41616333333326</v>
      </c>
      <c r="L34" s="93">
        <f>+((L$33/100)*$F$4*((100-Assumptions!$F$17)/100)*((100-Assumptions!$F$15)/100))-SUM($F$9:$F$10)-($J34/100)*Assumptions!$C$10-Assumptions!$C$18*(8/12)*('Stockers Margins'!$J34*Assumptions!$C$10/100)</f>
        <v>-121.46139833333348</v>
      </c>
      <c r="M34" s="93">
        <f>+((M$33/100)*$F$4*((100-Assumptions!$F$17)/100)*((100-Assumptions!$F$15)/100))-SUM($F$9:$F$10)-($J34/100)*Assumptions!$C$10-Assumptions!$C$18*(8/12)*('Stockers Margins'!$J34*Assumptions!$C$10/100)</f>
        <v>-30.506633333333522</v>
      </c>
      <c r="N34" s="93">
        <f>+((N$33/100)*$F$4*((100-Assumptions!$F$17)/100)*((100-Assumptions!$F$15)/100))-SUM($F$9:$F$10)-($J34/100)*Assumptions!$C$10-Assumptions!$C$18*(8/12)*('Stockers Margins'!$J34*Assumptions!$C$10/100)</f>
        <v>60.448131666666654</v>
      </c>
      <c r="O34" s="94">
        <f>+((O$33/100)*$F$4*((100-Assumptions!$F$17)/100)*((100-Assumptions!$F$15)/100))-SUM($F$9:$F$10)-($J34/100)*Assumptions!$C$10-Assumptions!$C$18*(8/12)*('Stockers Margins'!$J34*Assumptions!$C$10/100)</f>
        <v>151.40289666666661</v>
      </c>
    </row>
    <row r="35" spans="10:15" x14ac:dyDescent="0.25">
      <c r="J35" s="77">
        <f>+J36*0.95</f>
        <v>147.25</v>
      </c>
      <c r="K35" s="95">
        <f>+((K$33/100)*$F$4*((100-Assumptions!$F$17)/100)*((100-Assumptions!$F$15)/100))-SUM($F$9:$F$10)-($J35/100)*Assumptions!$C$10-Assumptions!$C$18*(8/12)*('Stockers Margins'!$J35*Assumptions!$C$10/100)</f>
        <v>-250.82387166666658</v>
      </c>
      <c r="L35" s="96">
        <f>+((L$33/100)*$F$4*((100-Assumptions!$F$17)/100)*((100-Assumptions!$F$15)/100))-SUM($F$9:$F$10)-($J35/100)*Assumptions!$C$10-Assumptions!$C$18*(8/12)*('Stockers Margins'!$J35*Assumptions!$C$10/100)</f>
        <v>-159.8691066666668</v>
      </c>
      <c r="M35" s="96">
        <f>+((M$33/100)*$F$4*((100-Assumptions!$F$17)/100)*((100-Assumptions!$F$15)/100))-SUM($F$9:$F$10)-($J35/100)*Assumptions!$C$10-Assumptions!$C$18*(8/12)*('Stockers Margins'!$J35*Assumptions!$C$10/100)</f>
        <v>-68.914341666666857</v>
      </c>
      <c r="N35" s="96">
        <f>+((N$33/100)*$F$4*((100-Assumptions!$F$17)/100)*((100-Assumptions!$F$15)/100))-SUM($F$9:$F$10)-($J35/100)*Assumptions!$C$10-Assumptions!$C$18*(8/12)*('Stockers Margins'!$J35*Assumptions!$C$10/100)</f>
        <v>22.040423333333326</v>
      </c>
      <c r="O35" s="97">
        <f>+((O$33/100)*$F$4*((100-Assumptions!$F$17)/100)*((100-Assumptions!$F$15)/100))-SUM($F$9:$F$10)-($J35/100)*Assumptions!$C$10-Assumptions!$C$18*(8/12)*('Stockers Margins'!$J35*Assumptions!$C$10/100)</f>
        <v>112.99518833333327</v>
      </c>
    </row>
    <row r="36" spans="10:15" x14ac:dyDescent="0.25">
      <c r="J36" s="78">
        <v>155</v>
      </c>
      <c r="K36" s="95">
        <f>+((K$33/100)*$F$4*((100-Assumptions!$F$17)/100)*((100-Assumptions!$F$15)/100))-SUM($F$9:$F$10)-($J36/100)*Assumptions!$C$10-Assumptions!$C$18*(8/12)*('Stockers Margins'!$J36*Assumptions!$C$10/100)</f>
        <v>-289.23157999999989</v>
      </c>
      <c r="L36" s="96">
        <f>+((L$33/100)*$F$4*((100-Assumptions!$F$17)/100)*((100-Assumptions!$F$15)/100))-SUM($F$9:$F$10)-($J36/100)*Assumptions!$C$10-Assumptions!$C$18*(8/12)*('Stockers Margins'!$J36*Assumptions!$C$10/100)</f>
        <v>-198.27681500000014</v>
      </c>
      <c r="M36" s="96">
        <f>+((M$33/100)*$F$4*((100-Assumptions!$F$17)/100)*((100-Assumptions!$F$15)/100))-SUM($F$9:$F$10)-($J36/100)*Assumptions!$C$10-Assumptions!$C$18*(8/12)*('Stockers Margins'!$J36*Assumptions!$C$10/100)</f>
        <v>-107.32205000000019</v>
      </c>
      <c r="N36" s="96">
        <f>+((N$33/100)*$F$4*((100-Assumptions!$F$17)/100)*((100-Assumptions!$F$15)/100))-SUM($F$9:$F$10)-($J36/100)*Assumptions!$C$10-Assumptions!$C$18*(8/12)*('Stockers Margins'!$J36*Assumptions!$C$10/100)</f>
        <v>-16.36728500000001</v>
      </c>
      <c r="O36" s="97">
        <f>+((O$33/100)*$F$4*((100-Assumptions!$F$17)/100)*((100-Assumptions!$F$15)/100))-SUM($F$9:$F$10)-($J36/100)*Assumptions!$C$10-Assumptions!$C$18*(8/12)*('Stockers Margins'!$J36*Assumptions!$C$10/100)</f>
        <v>74.587479999999942</v>
      </c>
    </row>
    <row r="37" spans="10:15" x14ac:dyDescent="0.25">
      <c r="J37" s="77">
        <f>+J36*1.05</f>
        <v>162.75</v>
      </c>
      <c r="K37" s="95">
        <f>+((K$33/100)*$F$4*((100-Assumptions!$F$17)/100)*((100-Assumptions!$F$15)/100))-SUM($F$9:$F$10)-($J37/100)*Assumptions!$C$10-Assumptions!$C$18*(8/12)*('Stockers Margins'!$J37*Assumptions!$C$10/100)</f>
        <v>-327.63928833333324</v>
      </c>
      <c r="L37" s="96">
        <f>+((L$33/100)*$F$4*((100-Assumptions!$F$17)/100)*((100-Assumptions!$F$15)/100))-SUM($F$9:$F$10)-($J37/100)*Assumptions!$C$10-Assumptions!$C$18*(8/12)*('Stockers Margins'!$J37*Assumptions!$C$10/100)</f>
        <v>-236.68452333333346</v>
      </c>
      <c r="M37" s="96">
        <f>+((M$33/100)*$F$4*((100-Assumptions!$F$17)/100)*((100-Assumptions!$F$15)/100))-SUM($F$9:$F$10)-($J37/100)*Assumptions!$C$10-Assumptions!$C$18*(8/12)*('Stockers Margins'!$J37*Assumptions!$C$10/100)</f>
        <v>-145.72975833333351</v>
      </c>
      <c r="N37" s="96">
        <f>+((N$33/100)*$F$4*((100-Assumptions!$F$17)/100)*((100-Assumptions!$F$15)/100))-SUM($F$9:$F$10)-($J37/100)*Assumptions!$C$10-Assumptions!$C$18*(8/12)*('Stockers Margins'!$J37*Assumptions!$C$10/100)</f>
        <v>-54.774993333333342</v>
      </c>
      <c r="O37" s="97">
        <f>+((O$33/100)*$F$4*((100-Assumptions!$F$17)/100)*((100-Assumptions!$F$15)/100))-SUM($F$9:$F$10)-($J37/100)*Assumptions!$C$10-Assumptions!$C$18*(8/12)*('Stockers Margins'!$J37*Assumptions!$C$10/100)</f>
        <v>36.17977166666661</v>
      </c>
    </row>
    <row r="38" spans="10:15" ht="15.75" thickBot="1" x14ac:dyDescent="0.3">
      <c r="J38" s="79">
        <f>+J36*1.1</f>
        <v>170.5</v>
      </c>
      <c r="K38" s="98">
        <f>+((K$33/100)*$F$4*((100-Assumptions!$F$17)/100)*((100-Assumptions!$F$15)/100))-SUM($F$9:$F$10)-($J38/100)*Assumptions!$C$10-Assumptions!$C$18*(8/12)*('Stockers Margins'!$J38*Assumptions!$C$10/100)</f>
        <v>-366.04699666666659</v>
      </c>
      <c r="L38" s="99">
        <f>+((L$33/100)*$F$4*((100-Assumptions!$F$17)/100)*((100-Assumptions!$F$15)/100))-SUM($F$9:$F$10)-($J38/100)*Assumptions!$C$10-Assumptions!$C$18*(8/12)*('Stockers Margins'!$J38*Assumptions!$C$10/100)</f>
        <v>-275.09223166666681</v>
      </c>
      <c r="M38" s="99">
        <f>+((M$33/100)*$F$4*((100-Assumptions!$F$17)/100)*((100-Assumptions!$F$15)/100))-SUM($F$9:$F$10)-($J38/100)*Assumptions!$C$10-Assumptions!$C$18*(8/12)*('Stockers Margins'!$J38*Assumptions!$C$10/100)</f>
        <v>-184.13746666666685</v>
      </c>
      <c r="N38" s="99">
        <f>+((N$33/100)*$F$4*((100-Assumptions!$F$17)/100)*((100-Assumptions!$F$15)/100))-SUM($F$9:$F$10)-($J38/100)*Assumptions!$C$10-Assumptions!$C$18*(8/12)*('Stockers Margins'!$J38*Assumptions!$C$10/100)</f>
        <v>-93.182701666666674</v>
      </c>
      <c r="O38" s="100">
        <f>+((O$33/100)*$F$4*((100-Assumptions!$F$17)/100)*((100-Assumptions!$F$15)/100))-SUM($F$9:$F$10)-($J38/100)*Assumptions!$C$10-Assumptions!$C$18*(8/12)*('Stockers Margins'!$J38*Assumptions!$C$10/100)</f>
        <v>-2.2279366666667215</v>
      </c>
    </row>
    <row r="39" spans="10:15" ht="16.5" thickTop="1" thickBot="1" x14ac:dyDescent="0.3"/>
    <row r="40" spans="10:15" ht="16.5" thickTop="1" thickBot="1" x14ac:dyDescent="0.3">
      <c r="J40" s="71" t="s">
        <v>109</v>
      </c>
      <c r="K40" s="72"/>
      <c r="L40" s="72"/>
      <c r="M40" s="72"/>
      <c r="N40" s="72"/>
      <c r="O40" s="73"/>
    </row>
    <row r="41" spans="10:15" ht="15.75" thickTop="1" x14ac:dyDescent="0.25">
      <c r="J41" s="74" t="s">
        <v>108</v>
      </c>
      <c r="K41" s="80" t="s">
        <v>77</v>
      </c>
      <c r="L41" s="81"/>
      <c r="M41" s="81"/>
      <c r="N41" s="81"/>
      <c r="O41" s="82"/>
    </row>
    <row r="42" spans="10:15" ht="15.75" thickBot="1" x14ac:dyDescent="0.3">
      <c r="J42" s="91" t="s">
        <v>24</v>
      </c>
      <c r="K42" s="83">
        <f>+M42*0.9</f>
        <v>103.5</v>
      </c>
      <c r="L42" s="84">
        <f>+M42*0.95</f>
        <v>109.25</v>
      </c>
      <c r="M42" s="85">
        <f>+F5</f>
        <v>115</v>
      </c>
      <c r="N42" s="84">
        <f>+M42*1.05</f>
        <v>120.75</v>
      </c>
      <c r="O42" s="86">
        <f>+M42*1.1</f>
        <v>126.50000000000001</v>
      </c>
    </row>
    <row r="43" spans="10:15" ht="15.75" thickTop="1" x14ac:dyDescent="0.25">
      <c r="J43" s="76">
        <f>+J45*0.9</f>
        <v>108</v>
      </c>
      <c r="K43" s="54">
        <f>+((K$42/100)*$F$4*((100-Assumptions!$F$17)/100)*((100-Assumptions!$F$15)/100))-SUM($F$9:$F$10)+SUM($C$9:$C$10)-($J43/100)*$C$4-Assumptions!$C$18*(2/12)*('Stockers Margins'!$J43*$C$4/100)</f>
        <v>-19.441283080808269</v>
      </c>
      <c r="L43" s="55">
        <f>+((L$42/100)*$F$4*((100-Assumptions!$F$17)/100)*((100-Assumptions!$F$15)/100))-SUM($F$9:$F$10)+SUM($C$9:$C$10)-($J43/100)*$C$4-Assumptions!$C$18*(2/12)*('Stockers Margins'!$J43*$C$4/100)</f>
        <v>26.036099419191935</v>
      </c>
      <c r="M43" s="55">
        <f>+((M$42/100)*$F$4*((100-Assumptions!$F$17)/100)*((100-Assumptions!$F$15)/100))-SUM($F$9:$F$10)+SUM($C$9:$C$10)-($J43/100)*$C$4-Assumptions!$C$18*(2/12)*('Stockers Margins'!$J43*$C$4/100)</f>
        <v>71.51348191919169</v>
      </c>
      <c r="N43" s="55">
        <f>+((N$42/100)*$F$4*((100-Assumptions!$F$17)/100)*((100-Assumptions!$F$15)/100))-SUM($F$9:$F$10)+SUM($C$9:$C$10)-($J43/100)*$C$4-Assumptions!$C$18*(2/12)*('Stockers Margins'!$J43*$C$4/100)</f>
        <v>116.99086441919189</v>
      </c>
      <c r="O43" s="56">
        <f>+((O$42/100)*$F$4*((100-Assumptions!$F$17)/100)*((100-Assumptions!$F$15)/100))-SUM($F$9:$F$10)+SUM($C$9:$C$10)-($J43/100)*$C$4-Assumptions!$C$18*(2/12)*('Stockers Margins'!$J43*$C$4/100)</f>
        <v>162.46824691919187</v>
      </c>
    </row>
    <row r="44" spans="10:15" x14ac:dyDescent="0.25">
      <c r="J44" s="77">
        <f>+J45*0.95</f>
        <v>114</v>
      </c>
      <c r="K44" s="57">
        <f>+((K$42/100)*$F$4*((100-Assumptions!$F$17)/100)*((100-Assumptions!$F$15)/100))-SUM($F$9:$F$10)+SUM($C$9:$C$10)-($J44/100)*$C$4-Assumptions!$C$18*(2/12)*('Stockers Margins'!$J44*$C$4/100)</f>
        <v>-61.338303080808132</v>
      </c>
      <c r="L44" s="58">
        <f>+((L$42/100)*$F$4*((100-Assumptions!$F$17)/100)*((100-Assumptions!$F$15)/100))-SUM($F$9:$F$10)+SUM($C$9:$C$10)-($J44/100)*$C$4-Assumptions!$C$18*(2/12)*('Stockers Margins'!$J44*$C$4/100)</f>
        <v>-15.86092058080793</v>
      </c>
      <c r="M44" s="58">
        <f>+((M$42/100)*$F$4*((100-Assumptions!$F$17)/100)*((100-Assumptions!$F$15)/100))-SUM($F$9:$F$10)+SUM($C$9:$C$10)-($J44/100)*$C$4-Assumptions!$C$18*(2/12)*('Stockers Margins'!$J44*$C$4/100)</f>
        <v>29.616461919191821</v>
      </c>
      <c r="N44" s="58">
        <f>+((N$42/100)*$F$4*((100-Assumptions!$F$17)/100)*((100-Assumptions!$F$15)/100))-SUM($F$9:$F$10)+SUM($C$9:$C$10)-($J44/100)*$C$4-Assumptions!$C$18*(2/12)*('Stockers Margins'!$J44*$C$4/100)</f>
        <v>75.093844419192024</v>
      </c>
      <c r="O44" s="59">
        <f>+((O$42/100)*$F$4*((100-Assumptions!$F$17)/100)*((100-Assumptions!$F$15)/100))-SUM($F$9:$F$10)+SUM($C$9:$C$10)-($J44/100)*$C$4-Assumptions!$C$18*(2/12)*('Stockers Margins'!$J44*$C$4/100)</f>
        <v>120.571226919192</v>
      </c>
    </row>
    <row r="45" spans="10:15" x14ac:dyDescent="0.25">
      <c r="J45" s="78">
        <v>120</v>
      </c>
      <c r="K45" s="57">
        <f>+((K$42/100)*$F$4*((100-Assumptions!$F$17)/100)*((100-Assumptions!$F$15)/100))-SUM($F$9:$F$10)+SUM($C$9:$C$10)-($J45/100)*$C$4-Assumptions!$C$18*(2/12)*('Stockers Margins'!$J45*$C$4/100)</f>
        <v>-103.23532308080823</v>
      </c>
      <c r="L45" s="58">
        <f>+((L$42/100)*$F$4*((100-Assumptions!$F$17)/100)*((100-Assumptions!$F$15)/100))-SUM($F$9:$F$10)+SUM($C$9:$C$10)-($J45/100)*$C$4-Assumptions!$C$18*(2/12)*('Stockers Margins'!$J45*$C$4/100)</f>
        <v>-57.757940580808025</v>
      </c>
      <c r="M45" s="58">
        <f>+((M$42/100)*$F$4*((100-Assumptions!$F$17)/100)*((100-Assumptions!$F$15)/100))-SUM($F$9:$F$10)+SUM($C$9:$C$10)-($J45/100)*$C$4-Assumptions!$C$18*(2/12)*('Stockers Margins'!$J45*$C$4/100)</f>
        <v>-12.280558080808275</v>
      </c>
      <c r="N45" s="58">
        <f>+((N$42/100)*$F$4*((100-Assumptions!$F$17)/100)*((100-Assumptions!$F$15)/100))-SUM($F$9:$F$10)+SUM($C$9:$C$10)-($J45/100)*$C$4-Assumptions!$C$18*(2/12)*('Stockers Margins'!$J45*$C$4/100)</f>
        <v>33.196824419191927</v>
      </c>
      <c r="O45" s="59">
        <f>+((O$42/100)*$F$4*((100-Assumptions!$F$17)/100)*((100-Assumptions!$F$15)/100))-SUM($F$9:$F$10)+SUM($C$9:$C$10)-($J45/100)*$C$4-Assumptions!$C$18*(2/12)*('Stockers Margins'!$J45*$C$4/100)</f>
        <v>78.674206919191903</v>
      </c>
    </row>
    <row r="46" spans="10:15" x14ac:dyDescent="0.25">
      <c r="J46" s="77">
        <f>+J45*1.05</f>
        <v>126</v>
      </c>
      <c r="K46" s="57">
        <f>+((K$42/100)*$F$4*((100-Assumptions!$F$17)/100)*((100-Assumptions!$F$15)/100))-SUM($F$9:$F$10)+SUM($C$9:$C$10)-($J46/100)*$C$4-Assumptions!$C$18*(2/12)*('Stockers Margins'!$J46*$C$4/100)</f>
        <v>-145.1323430808082</v>
      </c>
      <c r="L46" s="58">
        <f>+((L$42/100)*$F$4*((100-Assumptions!$F$17)/100)*((100-Assumptions!$F$15)/100))-SUM($F$9:$F$10)+SUM($C$9:$C$10)-($J46/100)*$C$4-Assumptions!$C$18*(2/12)*('Stockers Margins'!$J46*$C$4/100)</f>
        <v>-99.654960580807995</v>
      </c>
      <c r="M46" s="58">
        <f>+((M$42/100)*$F$4*((100-Assumptions!$F$17)/100)*((100-Assumptions!$F$15)/100))-SUM($F$9:$F$10)+SUM($C$9:$C$10)-($J46/100)*$C$4-Assumptions!$C$18*(2/12)*('Stockers Margins'!$J46*$C$4/100)</f>
        <v>-54.177578080808253</v>
      </c>
      <c r="N46" s="58">
        <f>+((N$42/100)*$F$4*((100-Assumptions!$F$17)/100)*((100-Assumptions!$F$15)/100))-SUM($F$9:$F$10)+SUM($C$9:$C$10)-($J46/100)*$C$4-Assumptions!$C$18*(2/12)*('Stockers Margins'!$J46*$C$4/100)</f>
        <v>-8.7001955808080478</v>
      </c>
      <c r="O46" s="59">
        <f>+((O$42/100)*$F$4*((100-Assumptions!$F$17)/100)*((100-Assumptions!$F$15)/100))-SUM($F$9:$F$10)+SUM($C$9:$C$10)-($J46/100)*$C$4-Assumptions!$C$18*(2/12)*('Stockers Margins'!$J46*$C$4/100)</f>
        <v>36.777186919191927</v>
      </c>
    </row>
    <row r="47" spans="10:15" ht="15.75" thickBot="1" x14ac:dyDescent="0.3">
      <c r="J47" s="79">
        <f>+J45*1.1</f>
        <v>132</v>
      </c>
      <c r="K47" s="60">
        <f>+((K$42/100)*$F$4*((100-Assumptions!$F$17)/100)*((100-Assumptions!$F$15)/100))-SUM($F$9:$F$10)+SUM($C$9:$C$10)-($J47/100)*$C$4-Assumptions!$C$18*(2/12)*('Stockers Margins'!$J47*$C$4/100)</f>
        <v>-187.02936308080831</v>
      </c>
      <c r="L47" s="61">
        <f>+((L$42/100)*$F$4*((100-Assumptions!$F$17)/100)*((100-Assumptions!$F$15)/100))-SUM($F$9:$F$10)+SUM($C$9:$C$10)-($J47/100)*$C$4-Assumptions!$C$18*(2/12)*('Stockers Margins'!$J47*$C$4/100)</f>
        <v>-141.55198058080811</v>
      </c>
      <c r="M47" s="61">
        <f>+((M$42/100)*$F$4*((100-Assumptions!$F$17)/100)*((100-Assumptions!$F$15)/100))-SUM($F$9:$F$10)+SUM($C$9:$C$10)-($J47/100)*$C$4-Assumptions!$C$18*(2/12)*('Stockers Margins'!$J47*$C$4/100)</f>
        <v>-96.074598080808343</v>
      </c>
      <c r="N47" s="61">
        <f>+((N$42/100)*$F$4*((100-Assumptions!$F$17)/100)*((100-Assumptions!$F$15)/100))-SUM($F$9:$F$10)+SUM($C$9:$C$10)-($J47/100)*$C$4-Assumptions!$C$18*(2/12)*('Stockers Margins'!$J47*$C$4/100)</f>
        <v>-50.59721558080814</v>
      </c>
      <c r="O47" s="62">
        <f>+((O$42/100)*$F$4*((100-Assumptions!$F$17)/100)*((100-Assumptions!$F$15)/100))-SUM($F$9:$F$10)+SUM($C$9:$C$10)-($J47/100)*$C$4-Assumptions!$C$18*(2/12)*('Stockers Margins'!$J47*$C$4/100)</f>
        <v>-5.1198330808081653</v>
      </c>
    </row>
    <row r="48" spans="10:15" ht="15.75" thickTop="1" x14ac:dyDescent="0.25"/>
  </sheetData>
  <mergeCells count="8">
    <mergeCell ref="B2:C2"/>
    <mergeCell ref="E2:F2"/>
    <mergeCell ref="K41:O41"/>
    <mergeCell ref="K23:O23"/>
    <mergeCell ref="J22:O22"/>
    <mergeCell ref="J31:O31"/>
    <mergeCell ref="K32:O32"/>
    <mergeCell ref="J40:O40"/>
  </mergeCells>
  <conditionalFormatting sqref="K25:O29">
    <cfRule type="colorScale" priority="7">
      <colorScale>
        <cfvo type="min"/>
        <cfvo type="max"/>
        <color theme="0" tint="-4.9989318521683403E-2"/>
        <color theme="0" tint="-0.34998626667073579"/>
      </colorScale>
    </cfRule>
    <cfRule type="colorScale" priority="10">
      <colorScale>
        <cfvo type="min"/>
        <cfvo type="max"/>
        <color rgb="FFFCFCFF"/>
        <color rgb="FF63BE7B"/>
      </colorScale>
    </cfRule>
  </conditionalFormatting>
  <conditionalFormatting sqref="K43:O47">
    <cfRule type="colorScale" priority="3">
      <colorScale>
        <cfvo type="min"/>
        <cfvo type="max"/>
        <color theme="0" tint="-4.9989318521683403E-2"/>
        <color theme="0" tint="-0.34998626667073579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K34:O38">
    <cfRule type="colorScale" priority="1">
      <colorScale>
        <cfvo type="min"/>
        <cfvo type="max"/>
        <color theme="0" tint="-4.9989318521683403E-2"/>
        <color theme="0" tint="-0.34998626667073579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19957-E84A-4853-8658-7F13F991AEFB}">
  <dimension ref="B1:S40"/>
  <sheetViews>
    <sheetView tabSelected="1" topLeftCell="A10" workbookViewId="0">
      <selection activeCell="C27" sqref="C27"/>
    </sheetView>
  </sheetViews>
  <sheetFormatPr defaultColWidth="8.85546875" defaultRowHeight="15" x14ac:dyDescent="0.25"/>
  <cols>
    <col min="1" max="1" width="8.85546875" style="1"/>
    <col min="2" max="2" width="26.28515625" style="1" customWidth="1"/>
    <col min="3" max="3" width="12.140625" style="1" bestFit="1" customWidth="1"/>
    <col min="4" max="5" width="8.85546875" style="1"/>
    <col min="6" max="6" width="10.42578125" style="1" bestFit="1" customWidth="1"/>
    <col min="7" max="11" width="8.85546875" style="1"/>
    <col min="12" max="17" width="9.42578125" style="1" customWidth="1"/>
    <col min="18" max="16384" width="8.85546875" style="1"/>
  </cols>
  <sheetData>
    <row r="1" spans="2:19" x14ac:dyDescent="0.25">
      <c r="B1" s="87" t="s">
        <v>93</v>
      </c>
      <c r="C1" s="88"/>
    </row>
    <row r="2" spans="2:19" x14ac:dyDescent="0.25">
      <c r="B2" s="1" t="s">
        <v>96</v>
      </c>
      <c r="C2" s="89">
        <v>4.4000000000000004</v>
      </c>
      <c r="D2" s="1" t="s">
        <v>95</v>
      </c>
      <c r="F2" s="1">
        <f>4.4/58*7</f>
        <v>0.53103448275862075</v>
      </c>
    </row>
    <row r="3" spans="2:19" x14ac:dyDescent="0.25">
      <c r="B3" s="1" t="s">
        <v>98</v>
      </c>
      <c r="C3" s="89">
        <v>0.4</v>
      </c>
      <c r="D3" s="1" t="s">
        <v>97</v>
      </c>
      <c r="F3" s="101">
        <f>+C3/3.5</f>
        <v>0.1142857142857143</v>
      </c>
    </row>
    <row r="4" spans="2:19" x14ac:dyDescent="0.25">
      <c r="B4" s="1" t="s">
        <v>94</v>
      </c>
      <c r="C4" s="89">
        <v>25</v>
      </c>
      <c r="D4" s="1" t="s">
        <v>35</v>
      </c>
      <c r="F4" s="1">
        <f>25/500</f>
        <v>0.05</v>
      </c>
    </row>
    <row r="9" spans="2:19" x14ac:dyDescent="0.25">
      <c r="B9" s="87" t="s">
        <v>91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33"/>
      <c r="S9" s="33"/>
    </row>
    <row r="10" spans="2:19" ht="15.75" thickBot="1" x14ac:dyDescent="0.3"/>
    <row r="11" spans="2:19" ht="16.5" thickTop="1" thickBot="1" x14ac:dyDescent="0.3">
      <c r="B11" s="1" t="s">
        <v>82</v>
      </c>
      <c r="C11" s="2">
        <v>72</v>
      </c>
      <c r="E11" s="71" t="s">
        <v>111</v>
      </c>
      <c r="F11" s="72"/>
      <c r="G11" s="72"/>
      <c r="H11" s="72"/>
      <c r="I11" s="72"/>
      <c r="J11" s="73"/>
      <c r="L11" s="71" t="s">
        <v>90</v>
      </c>
      <c r="M11" s="72"/>
      <c r="N11" s="72"/>
      <c r="O11" s="72"/>
      <c r="P11" s="72"/>
      <c r="Q11" s="73"/>
    </row>
    <row r="12" spans="2:19" ht="15.95" customHeight="1" thickTop="1" x14ac:dyDescent="0.25">
      <c r="B12" s="1" t="s">
        <v>83</v>
      </c>
      <c r="C12" s="2">
        <v>180</v>
      </c>
      <c r="E12" s="74" t="s">
        <v>85</v>
      </c>
      <c r="F12" s="80" t="s">
        <v>89</v>
      </c>
      <c r="G12" s="81"/>
      <c r="H12" s="81"/>
      <c r="I12" s="81"/>
      <c r="J12" s="82"/>
      <c r="L12" s="74" t="s">
        <v>100</v>
      </c>
      <c r="M12" s="80" t="s">
        <v>89</v>
      </c>
      <c r="N12" s="81"/>
      <c r="O12" s="81"/>
      <c r="P12" s="81"/>
      <c r="Q12" s="82"/>
    </row>
    <row r="13" spans="2:19" ht="15.75" thickBot="1" x14ac:dyDescent="0.3">
      <c r="B13" s="1" t="s">
        <v>78</v>
      </c>
      <c r="C13" s="2">
        <v>3.5</v>
      </c>
      <c r="E13" s="91" t="s">
        <v>86</v>
      </c>
      <c r="F13" s="83">
        <f>+H13*0.9</f>
        <v>90</v>
      </c>
      <c r="G13" s="84">
        <f>+H13*0.95</f>
        <v>95</v>
      </c>
      <c r="H13" s="85">
        <f>+C14</f>
        <v>100</v>
      </c>
      <c r="I13" s="84">
        <f>+H13*1.05</f>
        <v>105</v>
      </c>
      <c r="J13" s="86">
        <f>+H13*1.1</f>
        <v>110.00000000000001</v>
      </c>
      <c r="L13" s="91" t="s">
        <v>99</v>
      </c>
      <c r="M13" s="83">
        <f>+O13*0.9</f>
        <v>90</v>
      </c>
      <c r="N13" s="84">
        <f>+O13*0.95</f>
        <v>95</v>
      </c>
      <c r="O13" s="85">
        <f>C14</f>
        <v>100</v>
      </c>
      <c r="P13" s="84">
        <f>+O13*1.05</f>
        <v>105</v>
      </c>
      <c r="Q13" s="86">
        <f>+O13*1.1</f>
        <v>110.00000000000001</v>
      </c>
    </row>
    <row r="14" spans="2:19" ht="15.75" thickTop="1" x14ac:dyDescent="0.25">
      <c r="B14" s="1" t="s">
        <v>87</v>
      </c>
      <c r="C14" s="2">
        <v>100</v>
      </c>
      <c r="E14" s="76">
        <f>+E16*0.9</f>
        <v>64.8</v>
      </c>
      <c r="F14" s="92">
        <f>+(F$13*$C$18)*(1-$C$15)/100-($C$17*$C$19/100)-($C$17*$C$19/100)*$C$16*0.5-($C$18-$C$17)*$E14/100</f>
        <v>-83.683987499999944</v>
      </c>
      <c r="G14" s="93">
        <f t="shared" ref="G14:J14" si="0">+(G$13*$C$18)*(1-$C$15)/100-($C$17*$C$19/100)-($C$17*$C$19/100)*$C$16*0.5-($C$18-$C$17)*$E14/100</f>
        <v>-12.95343749999995</v>
      </c>
      <c r="H14" s="93">
        <f t="shared" si="0"/>
        <v>57.777112500000044</v>
      </c>
      <c r="I14" s="93">
        <f t="shared" si="0"/>
        <v>128.50766249999998</v>
      </c>
      <c r="J14" s="94">
        <f t="shared" si="0"/>
        <v>199.2382125000002</v>
      </c>
      <c r="L14" s="76">
        <f>L18*0.8</f>
        <v>1143.1200000000001</v>
      </c>
      <c r="M14" s="92">
        <f>+(M$13*$L14)*(1-$C$15)/100-($C$17*$C$19/100)-($C$17*$C$19/100)*$C$16*0.5-($L14-$C$17)*$C$11/100</f>
        <v>-177.91236749999996</v>
      </c>
      <c r="N14" s="93">
        <f>+(N$13*$L14)*(1-$C$15)/100-($C$17*$C$19/100)-($C$17*$C$19/100)*$C$16*0.5-($L14-$C$17)*$C$11/100</f>
        <v>-121.3279275000001</v>
      </c>
      <c r="O14" s="93">
        <f>+(O$13*$L14)*(1-$C$15)/100-($C$17*$C$19/100)-($C$17*$C$19/100)*$C$16*0.5-($L14-$C$17)*$C$11/100</f>
        <v>-64.743487500000015</v>
      </c>
      <c r="P14" s="93">
        <f>+(P$13*$L14)*(1-$C$15)/100-($C$17*$C$19/100)-($C$17*$C$19/100)*$C$16*0.5-($L14-$C$17)*$C$11/100</f>
        <v>-8.1590475000001561</v>
      </c>
      <c r="Q14" s="94">
        <f>+(Q$13*$L14)*(1-$C$15)/100-($C$17*$C$19/100)-($C$17*$C$19/100)*$C$16*0.5-($L14-$C$17)*$C$11/100</f>
        <v>48.425392500000186</v>
      </c>
    </row>
    <row r="15" spans="2:19" x14ac:dyDescent="0.25">
      <c r="B15" s="1" t="s">
        <v>88</v>
      </c>
      <c r="C15" s="49">
        <v>0.01</v>
      </c>
      <c r="E15" s="77">
        <f>+E16*0.95</f>
        <v>68.399999999999991</v>
      </c>
      <c r="F15" s="95">
        <f t="shared" ref="F15:J18" si="1">+(F$13*$C$18)*(1-$C$15)/100-($C$17*$C$19/100)-($C$17*$C$19/100)*$C$16*0.5-($C$18-$C$17)*$E15/100</f>
        <v>-106.36398749999989</v>
      </c>
      <c r="G15" s="96">
        <f t="shared" si="1"/>
        <v>-35.6334374999999</v>
      </c>
      <c r="H15" s="96">
        <f t="shared" si="1"/>
        <v>35.097112500000094</v>
      </c>
      <c r="I15" s="96">
        <f t="shared" si="1"/>
        <v>105.82766250000003</v>
      </c>
      <c r="J15" s="97">
        <f t="shared" si="1"/>
        <v>176.55821250000025</v>
      </c>
      <c r="L15" s="77">
        <f>L18*0.85</f>
        <v>1214.5650000000001</v>
      </c>
      <c r="M15" s="95">
        <f>+(M$13*$L15)*(1-$C$15)/100-($C$17*$C$19/100)-($C$17*$C$19/100)*$C$16*0.5-($L15-$C$17)*$C$11/100</f>
        <v>-165.69527249999996</v>
      </c>
      <c r="N15" s="96">
        <f>+(N$13*$L15)*(1-$C$15)/100-($C$17*$C$19/100)-($C$17*$C$19/100)*$C$16*0.5-($L15-$C$17)*$C$11/100</f>
        <v>-105.57430499999995</v>
      </c>
      <c r="O15" s="96">
        <f>+(O$13*$L15)*(1-$C$15)/100-($C$17*$C$19/100)-($C$17*$C$19/100)*$C$16*0.5-($L15-$C$17)*$C$11/100</f>
        <v>-45.453337500000174</v>
      </c>
      <c r="P15" s="96">
        <f>+(P$13*$L15)*(1-$C$15)/100-($C$17*$C$19/100)-($C$17*$C$19/100)*$C$16*0.5-($L15-$C$17)*$C$11/100</f>
        <v>14.667630000000088</v>
      </c>
      <c r="Q15" s="97">
        <f>+(Q$13*$L15)*(1-$C$15)/100-($C$17*$C$19/100)-($C$17*$C$19/100)*$C$16*0.5-($L15-$C$17)*$C$11/100</f>
        <v>74.788597500000094</v>
      </c>
    </row>
    <row r="16" spans="2:19" x14ac:dyDescent="0.25">
      <c r="B16" s="1" t="s">
        <v>81</v>
      </c>
      <c r="C16" s="24">
        <f>+Assumptions!C18</f>
        <v>6.5000000000000002E-2</v>
      </c>
      <c r="E16" s="78">
        <f>+C11</f>
        <v>72</v>
      </c>
      <c r="F16" s="95">
        <f t="shared" si="1"/>
        <v>-129.04398749999996</v>
      </c>
      <c r="G16" s="96">
        <f t="shared" si="1"/>
        <v>-58.313437499999964</v>
      </c>
      <c r="H16" s="96">
        <f t="shared" si="1"/>
        <v>12.41711250000003</v>
      </c>
      <c r="I16" s="96">
        <f t="shared" si="1"/>
        <v>83.147662499999967</v>
      </c>
      <c r="J16" s="97">
        <f t="shared" si="1"/>
        <v>153.87821250000019</v>
      </c>
      <c r="L16" s="78">
        <f>L18*0.9</f>
        <v>1286.0100000000002</v>
      </c>
      <c r="M16" s="95">
        <f>+(M$13*$L16)*(1-$C$15)/100-($C$17*$C$19/100)-($C$17*$C$19/100)*$C$16*0.5-($L16-$C$17)*$C$11/100</f>
        <v>-153.47817749999999</v>
      </c>
      <c r="N16" s="96">
        <f>+(N$13*$L16)*(1-$C$15)/100-($C$17*$C$19/100)-($C$17*$C$19/100)*$C$16*0.5-($L16-$C$17)*$C$11/100</f>
        <v>-89.820682500000032</v>
      </c>
      <c r="O16" s="96">
        <f>+(O$13*$L16)*(1-$C$15)/100-($C$17*$C$19/100)-($C$17*$C$19/100)*$C$16*0.5-($L16-$C$17)*$C$11/100</f>
        <v>-26.163187499999879</v>
      </c>
      <c r="P16" s="96">
        <f>+(P$13*$L16)*(1-$C$15)/100-($C$17*$C$19/100)-($C$17*$C$19/100)*$C$16*0.5-($L16-$C$17)*$C$11/100</f>
        <v>37.494307500000048</v>
      </c>
      <c r="Q16" s="97">
        <f>+(Q$13*$L16)*(1-$C$15)/100-($C$17*$C$19/100)-($C$17*$C$19/100)*$C$16*0.5-($L16-$C$17)*$C$11/100</f>
        <v>101.15180249999997</v>
      </c>
    </row>
    <row r="17" spans="2:17" x14ac:dyDescent="0.25">
      <c r="B17" s="1" t="s">
        <v>80</v>
      </c>
      <c r="C17" s="70">
        <f>+'Stockers Margins'!F4</f>
        <v>798.9</v>
      </c>
      <c r="E17" s="77">
        <f>+E16*1.05</f>
        <v>75.600000000000009</v>
      </c>
      <c r="F17" s="95">
        <f t="shared" si="1"/>
        <v>-151.72398750000002</v>
      </c>
      <c r="G17" s="96">
        <f t="shared" si="1"/>
        <v>-80.993437500000027</v>
      </c>
      <c r="H17" s="96">
        <f t="shared" si="1"/>
        <v>-10.262887500000033</v>
      </c>
      <c r="I17" s="96">
        <f t="shared" si="1"/>
        <v>60.467662499999904</v>
      </c>
      <c r="J17" s="97">
        <f t="shared" si="1"/>
        <v>131.19821250000012</v>
      </c>
      <c r="L17" s="77">
        <f>L18*0.95</f>
        <v>1357.4549999999999</v>
      </c>
      <c r="M17" s="95">
        <f>+(M$13*$L17)*(1-$C$15)/100-($C$17*$C$19/100)-($C$17*$C$19/100)*$C$16*0.5-($L17-$C$17)*$C$11/100</f>
        <v>-141.26108250000004</v>
      </c>
      <c r="N17" s="96">
        <f>+(N$13*$L17)*(1-$C$15)/100-($C$17*$C$19/100)-($C$17*$C$19/100)*$C$16*0.5-($L17-$C$17)*$C$11/100</f>
        <v>-74.067060000000197</v>
      </c>
      <c r="O17" s="96">
        <f>+(O$13*$L17)*(1-$C$15)/100-($C$17*$C$19/100)-($C$17*$C$19/100)*$C$16*0.5-($L17-$C$17)*$C$11/100</f>
        <v>-6.8730374999998958</v>
      </c>
      <c r="P17" s="96">
        <f>+(P$13*$L17)*(1-$C$15)/100-($C$17*$C$19/100)-($C$17*$C$19/100)*$C$16*0.5-($L17-$C$17)*$C$11/100</f>
        <v>60.320984999999951</v>
      </c>
      <c r="Q17" s="97">
        <f>+(Q$13*$L17)*(1-$C$15)/100-($C$17*$C$19/100)-($C$17*$C$19/100)*$C$16*0.5-($L17-$C$17)*$C$11/100</f>
        <v>127.51500749999997</v>
      </c>
    </row>
    <row r="18" spans="2:17" ht="15.75" thickBot="1" x14ac:dyDescent="0.3">
      <c r="B18" s="1" t="s">
        <v>79</v>
      </c>
      <c r="C18" s="70">
        <f>+C17+C12*C13</f>
        <v>1428.9</v>
      </c>
      <c r="E18" s="79">
        <f>+E16*1.1</f>
        <v>79.2</v>
      </c>
      <c r="F18" s="98">
        <f t="shared" si="1"/>
        <v>-174.40398749999997</v>
      </c>
      <c r="G18" s="99">
        <f t="shared" si="1"/>
        <v>-103.67343749999998</v>
      </c>
      <c r="H18" s="99">
        <f t="shared" si="1"/>
        <v>-32.942887499999983</v>
      </c>
      <c r="I18" s="99">
        <f t="shared" si="1"/>
        <v>37.787662499999954</v>
      </c>
      <c r="J18" s="100">
        <f t="shared" si="1"/>
        <v>108.51821250000017</v>
      </c>
      <c r="L18" s="79">
        <f>C18</f>
        <v>1428.9</v>
      </c>
      <c r="M18" s="98">
        <f>+(M$13*$L18)*(1-$C$15)/100-($C$17*$C$19/100)-($C$17*$C$19/100)*$C$16*0.5-($L18-$C$17)*$C$11/100</f>
        <v>-129.04398749999996</v>
      </c>
      <c r="N18" s="99">
        <f>+(N$13*$L18)*(1-$C$15)/100-($C$17*$C$19/100)-($C$17*$C$19/100)*$C$16*0.5-($L18-$C$17)*$C$11/100</f>
        <v>-58.313437499999964</v>
      </c>
      <c r="O18" s="99">
        <f>+(O$13*$L18)*(1-$C$15)/100-($C$17*$C$19/100)-($C$17*$C$19/100)*$C$16*0.5-($L18-$C$17)*$C$11/100</f>
        <v>12.41711250000003</v>
      </c>
      <c r="P18" s="99">
        <f>+(P$13*$L18)*(1-$C$15)/100-($C$17*$C$19/100)-($C$17*$C$19/100)*$C$16*0.5-($L18-$C$17)*$C$11/100</f>
        <v>83.147662499999967</v>
      </c>
      <c r="Q18" s="100">
        <f>+(Q$13*$L18)*(1-$C$15)/100-($C$17*$C$19/100)-($C$17*$C$19/100)*$C$16*0.5-($L18-$C$17)*$C$11/100</f>
        <v>153.87821250000019</v>
      </c>
    </row>
    <row r="19" spans="2:17" ht="15.75" thickTop="1" x14ac:dyDescent="0.25">
      <c r="B19" s="1" t="s">
        <v>84</v>
      </c>
      <c r="C19" s="70">
        <f>+'Stockers Margins'!F5</f>
        <v>115</v>
      </c>
      <c r="L19" s="70"/>
    </row>
    <row r="20" spans="2:17" ht="15.75" thickBot="1" x14ac:dyDescent="0.3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</row>
    <row r="23" spans="2:17" x14ac:dyDescent="0.25">
      <c r="B23" s="87" t="s">
        <v>92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</row>
    <row r="24" spans="2:17" ht="15.75" thickBot="1" x14ac:dyDescent="0.3"/>
    <row r="25" spans="2:17" ht="16.5" thickTop="1" thickBot="1" x14ac:dyDescent="0.3">
      <c r="B25" s="1" t="s">
        <v>82</v>
      </c>
      <c r="C25" s="2">
        <v>72</v>
      </c>
      <c r="E25" s="71" t="s">
        <v>110</v>
      </c>
      <c r="F25" s="72"/>
      <c r="G25" s="72"/>
      <c r="H25" s="72"/>
      <c r="I25" s="72"/>
      <c r="J25" s="73"/>
      <c r="L25" s="71" t="s">
        <v>90</v>
      </c>
      <c r="M25" s="72"/>
      <c r="N25" s="72"/>
      <c r="O25" s="72"/>
      <c r="P25" s="72"/>
      <c r="Q25" s="73"/>
    </row>
    <row r="26" spans="2:17" ht="15.95" customHeight="1" thickTop="1" x14ac:dyDescent="0.25">
      <c r="B26" s="1" t="s">
        <v>83</v>
      </c>
      <c r="C26" s="2">
        <v>210</v>
      </c>
      <c r="E26" s="74" t="s">
        <v>85</v>
      </c>
      <c r="F26" s="80" t="s">
        <v>89</v>
      </c>
      <c r="G26" s="81"/>
      <c r="H26" s="81"/>
      <c r="I26" s="81"/>
      <c r="J26" s="82"/>
      <c r="K26" s="67"/>
      <c r="L26" s="74" t="s">
        <v>100</v>
      </c>
      <c r="M26" s="80" t="s">
        <v>89</v>
      </c>
      <c r="N26" s="81"/>
      <c r="O26" s="81"/>
      <c r="P26" s="81"/>
      <c r="Q26" s="82"/>
    </row>
    <row r="27" spans="2:17" ht="15.75" thickBot="1" x14ac:dyDescent="0.3">
      <c r="B27" s="1" t="s">
        <v>78</v>
      </c>
      <c r="C27" s="2">
        <v>3.5</v>
      </c>
      <c r="E27" s="91" t="s">
        <v>86</v>
      </c>
      <c r="F27" s="83">
        <f>+H27*0.9</f>
        <v>90</v>
      </c>
      <c r="G27" s="84">
        <f>+H27*0.95</f>
        <v>95</v>
      </c>
      <c r="H27" s="85">
        <f>+C28</f>
        <v>100</v>
      </c>
      <c r="I27" s="84">
        <f>+H27*1.05</f>
        <v>105</v>
      </c>
      <c r="J27" s="86">
        <f>+H27*1.1</f>
        <v>110.00000000000001</v>
      </c>
      <c r="K27" s="67"/>
      <c r="L27" s="91" t="s">
        <v>99</v>
      </c>
      <c r="M27" s="83">
        <f>+O27*0.9</f>
        <v>90</v>
      </c>
      <c r="N27" s="84">
        <f>+O27*0.95</f>
        <v>95</v>
      </c>
      <c r="O27" s="85">
        <f>C28</f>
        <v>100</v>
      </c>
      <c r="P27" s="84">
        <f>+O27*1.05</f>
        <v>105</v>
      </c>
      <c r="Q27" s="86">
        <f>+O27*1.1</f>
        <v>110.00000000000001</v>
      </c>
    </row>
    <row r="28" spans="2:17" ht="15.75" thickTop="1" x14ac:dyDescent="0.25">
      <c r="B28" s="1" t="s">
        <v>87</v>
      </c>
      <c r="C28" s="2">
        <v>100</v>
      </c>
      <c r="E28" s="76">
        <f>+E30*0.9</f>
        <v>64.8</v>
      </c>
      <c r="F28" s="92">
        <f>+(F$13*$C$32)*(1-$C$29)/100-($C$31*$C$33/100)-($C$31*$C$33/100)*$C$30*0.5-($C$32-$C$31)*$E28/100</f>
        <v>-97.45595000000003</v>
      </c>
      <c r="G28" s="93">
        <f t="shared" ref="G28:J28" si="2">+(G$13*$C$32)*(1-$C$29)/100-($C$31*$C$33/100)-($C$31*$C$33/100)*$C$30*0.5-($C$32-$C$31)*$E28/100</f>
        <v>-26.878850000000057</v>
      </c>
      <c r="H28" s="93">
        <f t="shared" si="2"/>
        <v>43.698250000000144</v>
      </c>
      <c r="I28" s="93">
        <f t="shared" si="2"/>
        <v>114.27535000000012</v>
      </c>
      <c r="J28" s="94">
        <f t="shared" si="2"/>
        <v>184.85245000000032</v>
      </c>
      <c r="L28" s="76">
        <f>L32*0.8</f>
        <v>1140.6400000000001</v>
      </c>
      <c r="M28" s="92">
        <f>+(M$13*$L28)*(1-$C$29)/100-($C$31*$C$33/100)-($C$31*$C$33/100)*$C$30*0.5-($L28-$C$31)*$C$25/100</f>
        <v>-199.13831000000008</v>
      </c>
      <c r="N28" s="93">
        <f>+(N$13*$L28)*(1-$C$29)/100-($C$31*$C$33/100)-($C$31*$C$33/100)*$C$30*0.5-($L28-$C$31)*$C$25/100</f>
        <v>-142.67663000000019</v>
      </c>
      <c r="O28" s="93">
        <f>+(O$13*$L28)*(1-$C$29)/100-($C$31*$C$33/100)-($C$31*$C$33/100)*$C$30*0.5-($L28-$C$31)*$C$25/100</f>
        <v>-86.214949999999845</v>
      </c>
      <c r="P28" s="93">
        <f>+(P$13*$L28)*(1-$C$29)/100-($C$31*$C$33/100)-($C$31*$C$33/100)*$C$30*0.5-($L28-$C$31)*$C$25/100</f>
        <v>-29.753269999999986</v>
      </c>
      <c r="Q28" s="94">
        <f>+(Q$13*$L28)*(1-$C$29)/100-($C$31*$C$33/100)-($C$31*$C$33/100)*$C$30*0.5-($L28-$C$31)*$C$25/100</f>
        <v>26.708410000000129</v>
      </c>
    </row>
    <row r="29" spans="2:17" x14ac:dyDescent="0.25">
      <c r="B29" s="1" t="s">
        <v>88</v>
      </c>
      <c r="C29" s="49">
        <v>0.01</v>
      </c>
      <c r="E29" s="77">
        <f>+E30*0.95</f>
        <v>68.399999999999991</v>
      </c>
      <c r="F29" s="95">
        <f t="shared" ref="F29:J32" si="3">+(F$13*$C$32)*(1-$C$29)/100-($C$31*$C$33/100)-($C$31*$C$33/100)*$C$30*0.5-($C$32-$C$31)*$E29/100</f>
        <v>-123.91595000000001</v>
      </c>
      <c r="G29" s="96">
        <f t="shared" si="3"/>
        <v>-53.338850000000036</v>
      </c>
      <c r="H29" s="96">
        <f t="shared" si="3"/>
        <v>17.238250000000164</v>
      </c>
      <c r="I29" s="96">
        <f t="shared" si="3"/>
        <v>87.815350000000137</v>
      </c>
      <c r="J29" s="97">
        <f t="shared" si="3"/>
        <v>158.39245000000034</v>
      </c>
      <c r="L29" s="77">
        <f>L32*0.85</f>
        <v>1211.9299999999998</v>
      </c>
      <c r="M29" s="95">
        <f>+(M$13*$L29)*(1-$C$29)/100-($C$31*$C$33/100)-($C$31*$C$33/100)*$C$30*0.5-($L29-$C$31)*$C$25/100</f>
        <v>-186.94771999999998</v>
      </c>
      <c r="N29" s="96">
        <f>+(N$13*$L29)*(1-$C$29)/100-($C$31*$C$33/100)-($C$31*$C$33/100)*$C$30*0.5-($L29-$C$31)*$C$25/100</f>
        <v>-126.95718500000007</v>
      </c>
      <c r="O29" s="96">
        <f>+(O$13*$L29)*(1-$C$29)/100-($C$31*$C$33/100)-($C$31*$C$33/100)*$C$30*0.5-($L29-$C$31)*$C$25/100</f>
        <v>-66.966650000000186</v>
      </c>
      <c r="P29" s="96">
        <f>+(P$13*$L29)*(1-$C$29)/100-($C$31*$C$33/100)-($C$31*$C$33/100)*$C$30*0.5-($L29-$C$31)*$C$25/100</f>
        <v>-6.9761150000002772</v>
      </c>
      <c r="Q29" s="97">
        <f>+(Q$13*$L29)*(1-$C$29)/100-($C$31*$C$33/100)-($C$31*$C$33/100)*$C$30*0.5-($L29-$C$31)*$C$25/100</f>
        <v>53.014420000000086</v>
      </c>
    </row>
    <row r="30" spans="2:17" x14ac:dyDescent="0.25">
      <c r="B30" s="1" t="s">
        <v>81</v>
      </c>
      <c r="C30" s="24">
        <v>6.5000000000000002E-2</v>
      </c>
      <c r="E30" s="78">
        <f>+C25</f>
        <v>72</v>
      </c>
      <c r="F30" s="95">
        <f t="shared" si="3"/>
        <v>-150.3759500000001</v>
      </c>
      <c r="G30" s="96">
        <f t="shared" si="3"/>
        <v>-79.79885000000013</v>
      </c>
      <c r="H30" s="96">
        <f t="shared" si="3"/>
        <v>-9.2217499999999291</v>
      </c>
      <c r="I30" s="96">
        <f t="shared" si="3"/>
        <v>61.355350000000044</v>
      </c>
      <c r="J30" s="97">
        <f t="shared" si="3"/>
        <v>131.93245000000024</v>
      </c>
      <c r="L30" s="78">
        <f>L32*0.9</f>
        <v>1283.22</v>
      </c>
      <c r="M30" s="95">
        <f>+(M$13*$L30)*(1-$C$29)/100-($C$31*$C$33/100)-($C$31*$C$33/100)*$C$30*0.5-($L30-$C$31)*$C$25/100</f>
        <v>-174.75712999999993</v>
      </c>
      <c r="N30" s="96">
        <f>+(N$13*$L30)*(1-$C$29)/100-($C$31*$C$33/100)-($C$31*$C$33/100)*$C$30*0.5-($L30-$C$31)*$C$25/100</f>
        <v>-111.23774000000003</v>
      </c>
      <c r="O30" s="96">
        <f>+(O$13*$L30)*(1-$C$29)/100-($C$31*$C$33/100)-($C$31*$C$33/100)*$C$30*0.5-($L30-$C$31)*$C$25/100</f>
        <v>-47.7183500000001</v>
      </c>
      <c r="P30" s="96">
        <f>+(P$13*$L30)*(1-$C$29)/100-($C$31*$C$33/100)-($C$31*$C$33/100)*$C$30*0.5-($L30-$C$31)*$C$25/100</f>
        <v>15.801040000000057</v>
      </c>
      <c r="Q30" s="97">
        <f>+(Q$13*$L30)*(1-$C$29)/100-($C$31*$C$33/100)-($C$31*$C$33/100)*$C$30*0.5-($L30-$C$31)*$C$25/100</f>
        <v>79.320429999999988</v>
      </c>
    </row>
    <row r="31" spans="2:17" x14ac:dyDescent="0.25">
      <c r="B31" s="1" t="s">
        <v>80</v>
      </c>
      <c r="C31" s="70">
        <f>'Stockers Margins'!C4</f>
        <v>690.8</v>
      </c>
      <c r="E31" s="77">
        <f>+E30*1.05</f>
        <v>75.600000000000009</v>
      </c>
      <c r="F31" s="95">
        <f t="shared" si="3"/>
        <v>-176.83595000000014</v>
      </c>
      <c r="G31" s="96">
        <f t="shared" si="3"/>
        <v>-106.25885000000017</v>
      </c>
      <c r="H31" s="96">
        <f t="shared" si="3"/>
        <v>-35.681749999999965</v>
      </c>
      <c r="I31" s="96">
        <f t="shared" si="3"/>
        <v>34.895350000000008</v>
      </c>
      <c r="J31" s="97">
        <f t="shared" si="3"/>
        <v>105.47245000000021</v>
      </c>
      <c r="L31" s="77">
        <f>L32*0.95</f>
        <v>1354.51</v>
      </c>
      <c r="M31" s="95">
        <f>+(M$13*$L31)*(1-$C$29)/100-($C$31*$C$33/100)-($C$31*$C$33/100)*$C$30*0.5-($L31-$C$31)*$C$25/100</f>
        <v>-162.56654000000003</v>
      </c>
      <c r="N31" s="96">
        <f>+(N$13*$L31)*(1-$C$29)/100-($C$31*$C$33/100)-($C$31*$C$33/100)*$C$30*0.5-($L31-$C$31)*$C$25/100</f>
        <v>-95.51829500000008</v>
      </c>
      <c r="O31" s="96">
        <f>+(O$13*$L31)*(1-$C$29)/100-($C$31*$C$33/100)-($C$31*$C$33/100)*$C$30*0.5-($L31-$C$31)*$C$25/100</f>
        <v>-28.470050000000128</v>
      </c>
      <c r="P31" s="96">
        <f>+(P$13*$L31)*(1-$C$29)/100-($C$31*$C$33/100)-($C$31*$C$33/100)*$C$30*0.5-($L31-$C$31)*$C$25/100</f>
        <v>38.578194999999823</v>
      </c>
      <c r="Q31" s="97">
        <f>+(Q$13*$L31)*(1-$C$29)/100-($C$31*$C$33/100)-($C$31*$C$33/100)*$C$30*0.5-($L31-$C$31)*$C$25/100</f>
        <v>105.62643999999977</v>
      </c>
    </row>
    <row r="32" spans="2:17" ht="15.75" thickBot="1" x14ac:dyDescent="0.3">
      <c r="B32" s="1" t="s">
        <v>79</v>
      </c>
      <c r="C32" s="70">
        <f>+C31+C26*C27</f>
        <v>1425.8</v>
      </c>
      <c r="E32" s="79">
        <f>+E30*1.1</f>
        <v>79.2</v>
      </c>
      <c r="F32" s="98">
        <f t="shared" si="3"/>
        <v>-203.29595000000006</v>
      </c>
      <c r="G32" s="99">
        <f t="shared" si="3"/>
        <v>-132.71885000000009</v>
      </c>
      <c r="H32" s="99">
        <f t="shared" si="3"/>
        <v>-62.141749999999888</v>
      </c>
      <c r="I32" s="99">
        <f t="shared" si="3"/>
        <v>8.4353500000000849</v>
      </c>
      <c r="J32" s="100">
        <f t="shared" si="3"/>
        <v>79.012450000000285</v>
      </c>
      <c r="L32" s="79">
        <f>C32</f>
        <v>1425.8</v>
      </c>
      <c r="M32" s="98">
        <f>+(M$13*$L32)*(1-$C$29)/100-($C$31*$C$33/100)-($C$31*$C$33/100)*$C$30*0.5-($L32-$C$31)*$C$25/100</f>
        <v>-150.3759500000001</v>
      </c>
      <c r="N32" s="99">
        <f>+(N$13*$L32)*(1-$C$29)/100-($C$31*$C$33/100)-($C$31*$C$33/100)*$C$30*0.5-($L32-$C$31)*$C$25/100</f>
        <v>-79.79885000000013</v>
      </c>
      <c r="O32" s="99">
        <f>+(O$13*$L32)*(1-$C$29)/100-($C$31*$C$33/100)-($C$31*$C$33/100)*$C$30*0.5-($L32-$C$31)*$C$25/100</f>
        <v>-9.2217499999999291</v>
      </c>
      <c r="P32" s="99">
        <f>+(P$13*$L32)*(1-$C$29)/100-($C$31*$C$33/100)-($C$31*$C$33/100)*$C$30*0.5-($L32-$C$31)*$C$25/100</f>
        <v>61.355350000000044</v>
      </c>
      <c r="Q32" s="100">
        <f>+(Q$13*$L32)*(1-$C$29)/100-($C$31*$C$33/100)-($C$31*$C$33/100)*$C$30*0.5-($L32-$C$31)*$C$25/100</f>
        <v>131.93245000000024</v>
      </c>
    </row>
    <row r="33" spans="2:17" ht="15.75" thickTop="1" x14ac:dyDescent="0.25">
      <c r="B33" s="1" t="s">
        <v>84</v>
      </c>
      <c r="C33" s="70">
        <f>'Stockers Margins'!C5</f>
        <v>125</v>
      </c>
    </row>
    <row r="35" spans="2:17" ht="15.75" thickBot="1" x14ac:dyDescent="0.3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</row>
    <row r="40" spans="2:17" ht="15.95" customHeight="1" x14ac:dyDescent="0.25"/>
  </sheetData>
  <mergeCells count="8">
    <mergeCell ref="M12:Q12"/>
    <mergeCell ref="L11:Q11"/>
    <mergeCell ref="E25:J25"/>
    <mergeCell ref="F26:J26"/>
    <mergeCell ref="L25:Q25"/>
    <mergeCell ref="M26:Q26"/>
    <mergeCell ref="E11:J11"/>
    <mergeCell ref="F12:J12"/>
  </mergeCells>
  <conditionalFormatting sqref="F14:J18">
    <cfRule type="colorScale" priority="7">
      <colorScale>
        <cfvo type="min"/>
        <cfvo type="max"/>
        <color theme="0" tint="-4.9989318521683403E-2"/>
        <color theme="0" tint="-0.34998626667073579"/>
      </colorScale>
    </cfRule>
    <cfRule type="colorScale" priority="8">
      <colorScale>
        <cfvo type="min"/>
        <cfvo type="max"/>
        <color rgb="FFFCFCFF"/>
        <color rgb="FF63BE7B"/>
      </colorScale>
    </cfRule>
  </conditionalFormatting>
  <conditionalFormatting sqref="M14:Q18">
    <cfRule type="colorScale" priority="5">
      <colorScale>
        <cfvo type="min"/>
        <cfvo type="max"/>
        <color theme="0" tint="-4.9989318521683403E-2"/>
        <color theme="0" tint="-0.34998626667073579"/>
      </colorScale>
    </cfRule>
    <cfRule type="colorScale" priority="6">
      <colorScale>
        <cfvo type="min"/>
        <cfvo type="max"/>
        <color rgb="FFFCFCFF"/>
        <color rgb="FF63BE7B"/>
      </colorScale>
    </cfRule>
  </conditionalFormatting>
  <conditionalFormatting sqref="F28:J32">
    <cfRule type="colorScale" priority="3">
      <colorScale>
        <cfvo type="min"/>
        <cfvo type="max"/>
        <color theme="0" tint="-4.9989318521683403E-2"/>
        <color theme="0" tint="-0.34998626667073579"/>
      </colorScale>
    </cfRule>
    <cfRule type="colorScale" priority="4">
      <colorScale>
        <cfvo type="min"/>
        <cfvo type="max"/>
        <color rgb="FFFCFCFF"/>
        <color rgb="FF63BE7B"/>
      </colorScale>
    </cfRule>
  </conditionalFormatting>
  <conditionalFormatting sqref="M28:Q32">
    <cfRule type="colorScale" priority="1">
      <colorScale>
        <cfvo type="min"/>
        <cfvo type="max"/>
        <color theme="0" tint="-4.9989318521683403E-2"/>
        <color theme="0" tint="-0.34998626667073579"/>
      </colorScale>
    </cfRule>
    <cfRule type="colorScale" priority="2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C87C-DBD5-49AA-AFCE-4285EC2124A9}">
  <dimension ref="B1:L48"/>
  <sheetViews>
    <sheetView workbookViewId="0">
      <selection activeCell="L6" sqref="L6"/>
    </sheetView>
  </sheetViews>
  <sheetFormatPr defaultColWidth="9.140625" defaultRowHeight="15" x14ac:dyDescent="0.25"/>
  <cols>
    <col min="1" max="1" width="4.140625" style="1" customWidth="1"/>
    <col min="2" max="2" width="3.42578125" style="1" customWidth="1"/>
    <col min="3" max="3" width="24.42578125" style="1" bestFit="1" customWidth="1"/>
    <col min="4" max="4" width="9.140625" style="1"/>
    <col min="5" max="5" width="11.140625" style="1" bestFit="1" customWidth="1"/>
    <col min="6" max="6" width="14.42578125" style="1" bestFit="1" customWidth="1"/>
    <col min="7" max="7" width="9.140625" style="1"/>
    <col min="8" max="9" width="13.42578125" style="1" customWidth="1"/>
    <col min="10" max="10" width="9.140625" style="1"/>
    <col min="11" max="11" width="21" style="1" customWidth="1"/>
    <col min="12" max="16384" width="9.140625" style="1"/>
  </cols>
  <sheetData>
    <row r="1" spans="2:12" x14ac:dyDescent="0.25">
      <c r="B1" s="19" t="s">
        <v>47</v>
      </c>
    </row>
    <row r="2" spans="2:12" x14ac:dyDescent="0.25">
      <c r="B2" s="19"/>
    </row>
    <row r="3" spans="2:12" x14ac:dyDescent="0.25">
      <c r="B3" s="45" t="s">
        <v>45</v>
      </c>
      <c r="C3" s="45"/>
      <c r="D3" s="11" t="s">
        <v>0</v>
      </c>
      <c r="E3" s="11" t="s">
        <v>46</v>
      </c>
      <c r="F3" s="11" t="s">
        <v>1</v>
      </c>
      <c r="G3" s="11" t="s">
        <v>2</v>
      </c>
      <c r="H3" s="11" t="s">
        <v>3</v>
      </c>
      <c r="I3" s="11" t="s">
        <v>35</v>
      </c>
    </row>
    <row r="4" spans="2:12" x14ac:dyDescent="0.25">
      <c r="C4" s="1" t="s">
        <v>10</v>
      </c>
      <c r="D4" s="9">
        <f>+Assumptions!C3*(100-Assumptions!C17)/100</f>
        <v>99</v>
      </c>
      <c r="E4" s="9">
        <f>+(Assumptions!C10+_xlfn.DAYS(Assumptions!C14,Assumptions!C13)*Assumptions!C16)*((100-Assumptions!C15)/100)</f>
        <v>690.8</v>
      </c>
      <c r="F4" s="1" t="s">
        <v>11</v>
      </c>
      <c r="G4" s="32">
        <f>+Assumptions!C8</f>
        <v>125</v>
      </c>
      <c r="H4" s="15">
        <f>+D4*G4*E4/100</f>
        <v>85486.5</v>
      </c>
      <c r="I4" s="4">
        <f>+H4/D4</f>
        <v>863.5</v>
      </c>
      <c r="J4" s="4"/>
      <c r="K4" s="20" t="s">
        <v>12</v>
      </c>
      <c r="L4" s="21" t="s">
        <v>13</v>
      </c>
    </row>
    <row r="5" spans="2:12" x14ac:dyDescent="0.25">
      <c r="K5" s="20" t="s">
        <v>14</v>
      </c>
      <c r="L5" s="22">
        <v>115</v>
      </c>
    </row>
    <row r="6" spans="2:12" x14ac:dyDescent="0.25">
      <c r="B6" s="3" t="s">
        <v>4</v>
      </c>
      <c r="C6" s="3"/>
      <c r="D6" s="3"/>
      <c r="E6" s="3"/>
      <c r="F6" s="3"/>
      <c r="G6" s="3"/>
      <c r="H6" s="46">
        <f>+H4</f>
        <v>85486.5</v>
      </c>
      <c r="I6" s="5">
        <f>+H6/D4</f>
        <v>863.5</v>
      </c>
      <c r="K6" s="20" t="s">
        <v>15</v>
      </c>
      <c r="L6" s="44">
        <f>+G4-L5</f>
        <v>10</v>
      </c>
    </row>
    <row r="8" spans="2:12" x14ac:dyDescent="0.25">
      <c r="B8" s="3" t="s">
        <v>48</v>
      </c>
      <c r="D8" s="11" t="s">
        <v>0</v>
      </c>
      <c r="E8" s="11" t="s">
        <v>46</v>
      </c>
      <c r="F8" s="11" t="s">
        <v>1</v>
      </c>
      <c r="G8" s="11" t="s">
        <v>2</v>
      </c>
      <c r="H8" s="11" t="s">
        <v>3</v>
      </c>
      <c r="I8" s="11" t="s">
        <v>35</v>
      </c>
    </row>
    <row r="9" spans="2:12" x14ac:dyDescent="0.25">
      <c r="C9" s="1" t="s">
        <v>49</v>
      </c>
      <c r="D9" s="1">
        <f>+Assumptions!C3</f>
        <v>100</v>
      </c>
      <c r="E9" s="1">
        <f>+Assumptions!C10</f>
        <v>475</v>
      </c>
      <c r="F9" s="1" t="s">
        <v>11</v>
      </c>
      <c r="G9" s="7">
        <f>+Assumptions!C7</f>
        <v>155</v>
      </c>
      <c r="H9" s="15">
        <f>+G9*E9*D9/100</f>
        <v>73625</v>
      </c>
      <c r="I9" s="4">
        <f>+H9/$D$4</f>
        <v>743.68686868686871</v>
      </c>
    </row>
    <row r="10" spans="2:12" x14ac:dyDescent="0.25">
      <c r="B10" s="23"/>
      <c r="G10" s="4"/>
      <c r="H10" s="15"/>
      <c r="I10" s="4"/>
    </row>
    <row r="11" spans="2:12" x14ac:dyDescent="0.25">
      <c r="B11" s="23"/>
      <c r="C11" s="1" t="s">
        <v>9</v>
      </c>
      <c r="D11" s="6">
        <f>+E4-E9</f>
        <v>215.79999999999995</v>
      </c>
      <c r="F11" s="1" t="s">
        <v>57</v>
      </c>
      <c r="G11" s="7">
        <f>+Assumptions!C4</f>
        <v>0.55000000000000004</v>
      </c>
      <c r="H11" s="15">
        <f>+G11*D11*D4</f>
        <v>11750.309999999998</v>
      </c>
      <c r="I11" s="4">
        <f>+H11/$D$4</f>
        <v>118.68999999999998</v>
      </c>
    </row>
    <row r="12" spans="2:12" x14ac:dyDescent="0.25">
      <c r="C12" s="1" t="s">
        <v>55</v>
      </c>
      <c r="D12" s="2">
        <v>1</v>
      </c>
      <c r="F12" s="1" t="s">
        <v>16</v>
      </c>
      <c r="G12" s="48">
        <v>12</v>
      </c>
      <c r="H12" s="15">
        <f>+G12*D9</f>
        <v>1200</v>
      </c>
      <c r="I12" s="4">
        <f>+H12/D4</f>
        <v>12.121212121212121</v>
      </c>
    </row>
    <row r="13" spans="2:12" x14ac:dyDescent="0.25">
      <c r="C13" s="1" t="s">
        <v>54</v>
      </c>
      <c r="D13" s="2">
        <v>125</v>
      </c>
      <c r="F13" s="1" t="s">
        <v>56</v>
      </c>
      <c r="G13" s="48">
        <v>0.05</v>
      </c>
      <c r="H13" s="15">
        <f>+D13*G13*D9</f>
        <v>625</v>
      </c>
      <c r="I13" s="4">
        <f>+H13/D4</f>
        <v>6.3131313131313131</v>
      </c>
    </row>
    <row r="14" spans="2:12" x14ac:dyDescent="0.25">
      <c r="C14" s="1" t="s">
        <v>52</v>
      </c>
      <c r="D14" s="2">
        <v>15</v>
      </c>
      <c r="F14" s="1" t="s">
        <v>56</v>
      </c>
      <c r="G14" s="48">
        <v>0.45</v>
      </c>
      <c r="H14" s="15">
        <f>+G14*D14*D9</f>
        <v>675</v>
      </c>
      <c r="I14" s="4">
        <f>+H14/D4</f>
        <v>6.8181818181818183</v>
      </c>
    </row>
    <row r="15" spans="2:12" x14ac:dyDescent="0.25">
      <c r="C15" s="1" t="s">
        <v>53</v>
      </c>
      <c r="D15" s="2">
        <v>1</v>
      </c>
      <c r="F15" s="1" t="s">
        <v>16</v>
      </c>
      <c r="G15" s="48">
        <v>8.42</v>
      </c>
      <c r="H15" s="15">
        <f>+G15*D15</f>
        <v>8.42</v>
      </c>
      <c r="I15" s="4">
        <f>+H15/D9</f>
        <v>8.4199999999999997E-2</v>
      </c>
    </row>
    <row r="16" spans="2:12" x14ac:dyDescent="0.25">
      <c r="C16" s="1" t="s">
        <v>5</v>
      </c>
      <c r="D16" s="2">
        <v>1</v>
      </c>
      <c r="F16" s="1" t="s">
        <v>16</v>
      </c>
      <c r="G16" s="48">
        <v>8.11</v>
      </c>
      <c r="H16" s="15">
        <f>+G16*D4</f>
        <v>802.89</v>
      </c>
      <c r="I16" s="4">
        <f>+H16/D4</f>
        <v>8.11</v>
      </c>
    </row>
    <row r="17" spans="2:9" x14ac:dyDescent="0.25">
      <c r="C17" s="1" t="s">
        <v>6</v>
      </c>
      <c r="D17" s="49">
        <v>0.1</v>
      </c>
      <c r="F17" s="1" t="s">
        <v>58</v>
      </c>
      <c r="G17" s="4">
        <f>+G16</f>
        <v>8.11</v>
      </c>
      <c r="H17" s="15">
        <f>+D17*H16</f>
        <v>80.289000000000001</v>
      </c>
      <c r="I17" s="4">
        <f>+H17/D4</f>
        <v>0.81100000000000005</v>
      </c>
    </row>
    <row r="18" spans="2:9" x14ac:dyDescent="0.25">
      <c r="C18" s="1" t="s">
        <v>31</v>
      </c>
      <c r="D18" s="1">
        <f>(100-Assumptions!C17)/100</f>
        <v>0.99</v>
      </c>
      <c r="F18" s="1" t="s">
        <v>16</v>
      </c>
      <c r="G18" s="48">
        <v>12</v>
      </c>
      <c r="H18" s="15">
        <f>+I18*D4</f>
        <v>1176.1199999999999</v>
      </c>
      <c r="I18" s="4">
        <f>+G18*D18</f>
        <v>11.879999999999999</v>
      </c>
    </row>
    <row r="19" spans="2:9" x14ac:dyDescent="0.25">
      <c r="C19" s="1" t="s">
        <v>17</v>
      </c>
      <c r="D19" s="24">
        <f>+Assumptions!C18</f>
        <v>6.5000000000000002E-2</v>
      </c>
      <c r="F19" s="1" t="s">
        <v>59</v>
      </c>
      <c r="G19" s="4"/>
      <c r="H19" s="15">
        <f>+D19*H9/2</f>
        <v>2392.8125</v>
      </c>
      <c r="I19" s="4">
        <f>+H19/D4</f>
        <v>24.169823232323232</v>
      </c>
    </row>
    <row r="20" spans="2:9" x14ac:dyDescent="0.25">
      <c r="B20" s="47" t="s">
        <v>7</v>
      </c>
      <c r="G20" s="4"/>
      <c r="H20" s="46">
        <f>+SUM(H9:H19)</f>
        <v>92335.841499999995</v>
      </c>
      <c r="I20" s="5">
        <f>+SUM(I9:I19)</f>
        <v>932.6844171717172</v>
      </c>
    </row>
    <row r="21" spans="2:9" x14ac:dyDescent="0.25">
      <c r="B21" s="47"/>
      <c r="G21" s="4"/>
      <c r="H21" s="5"/>
      <c r="I21" s="5"/>
    </row>
    <row r="22" spans="2:9" x14ac:dyDescent="0.25">
      <c r="B22" s="3" t="s">
        <v>60</v>
      </c>
      <c r="G22" s="4"/>
      <c r="H22" s="15">
        <f>+H6-H20</f>
        <v>-6849.341499999995</v>
      </c>
      <c r="I22" s="4">
        <f>+I6-I20</f>
        <v>-69.1844171717172</v>
      </c>
    </row>
    <row r="23" spans="2:9" x14ac:dyDescent="0.25">
      <c r="B23" s="3"/>
      <c r="G23" s="4"/>
      <c r="H23" s="15"/>
      <c r="I23" s="4"/>
    </row>
    <row r="24" spans="2:9" x14ac:dyDescent="0.25">
      <c r="B24" s="3" t="s">
        <v>38</v>
      </c>
      <c r="G24" s="4"/>
      <c r="H24" s="15"/>
      <c r="I24" s="4"/>
    </row>
    <row r="25" spans="2:9" x14ac:dyDescent="0.25">
      <c r="C25" s="1" t="s">
        <v>61</v>
      </c>
      <c r="D25" s="2">
        <v>1</v>
      </c>
      <c r="F25" s="1" t="s">
        <v>16</v>
      </c>
      <c r="G25" s="48">
        <v>0</v>
      </c>
      <c r="H25" s="15">
        <f>+G25*D9</f>
        <v>0</v>
      </c>
      <c r="I25" s="4">
        <f>+H25/$D$4</f>
        <v>0</v>
      </c>
    </row>
    <row r="26" spans="2:9" x14ac:dyDescent="0.25">
      <c r="C26" s="1" t="s">
        <v>62</v>
      </c>
      <c r="D26" s="2">
        <v>1</v>
      </c>
      <c r="F26" s="1" t="s">
        <v>16</v>
      </c>
      <c r="G26" s="48">
        <v>0</v>
      </c>
      <c r="H26" s="15">
        <f>+G26*D9</f>
        <v>0</v>
      </c>
      <c r="I26" s="4">
        <f t="shared" ref="I26:I28" si="0">+H26/$D$4</f>
        <v>0</v>
      </c>
    </row>
    <row r="27" spans="2:9" x14ac:dyDescent="0.25">
      <c r="C27" s="1" t="s">
        <v>63</v>
      </c>
      <c r="D27" s="2">
        <v>1</v>
      </c>
      <c r="F27" s="1" t="s">
        <v>16</v>
      </c>
      <c r="G27" s="48">
        <v>0</v>
      </c>
      <c r="H27" s="15">
        <f>+G27*D9</f>
        <v>0</v>
      </c>
      <c r="I27" s="4">
        <f t="shared" si="0"/>
        <v>0</v>
      </c>
    </row>
    <row r="28" spans="2:9" x14ac:dyDescent="0.25">
      <c r="B28" s="8" t="s">
        <v>8</v>
      </c>
      <c r="G28" s="4"/>
      <c r="H28" s="46">
        <f>SUM(H25:H27)</f>
        <v>0</v>
      </c>
      <c r="I28" s="5">
        <f t="shared" si="0"/>
        <v>0</v>
      </c>
    </row>
    <row r="29" spans="2:9" x14ac:dyDescent="0.25">
      <c r="G29" s="4"/>
      <c r="H29" s="4"/>
      <c r="I29" s="4"/>
    </row>
    <row r="30" spans="2:9" x14ac:dyDescent="0.25">
      <c r="B30" s="1" t="s">
        <v>18</v>
      </c>
      <c r="H30" s="46">
        <f>+H20+H28</f>
        <v>92335.841499999995</v>
      </c>
      <c r="I30" s="5">
        <f>+I20+I28</f>
        <v>932.6844171717172</v>
      </c>
    </row>
    <row r="31" spans="2:9" x14ac:dyDescent="0.25">
      <c r="G31" s="24"/>
      <c r="I31" s="4"/>
    </row>
    <row r="32" spans="2:9" x14ac:dyDescent="0.25">
      <c r="B32" s="8" t="s">
        <v>68</v>
      </c>
      <c r="C32" s="8"/>
      <c r="D32" s="8"/>
      <c r="E32" s="8"/>
      <c r="F32" s="8"/>
      <c r="G32" s="8"/>
      <c r="I32" s="25">
        <f>+I6-I30</f>
        <v>-69.1844171717172</v>
      </c>
    </row>
    <row r="33" spans="2:9" x14ac:dyDescent="0.25">
      <c r="B33" s="8" t="s">
        <v>64</v>
      </c>
      <c r="C33" s="8"/>
      <c r="D33" s="8"/>
      <c r="E33" s="8"/>
      <c r="F33" s="8"/>
      <c r="G33" s="8"/>
      <c r="I33" s="25">
        <f>+I30/E4*100</f>
        <v>135.01511539833777</v>
      </c>
    </row>
    <row r="34" spans="2:9" x14ac:dyDescent="0.25">
      <c r="B34" s="8"/>
      <c r="C34" s="8"/>
      <c r="D34" s="8"/>
      <c r="E34" s="8"/>
      <c r="F34" s="8"/>
      <c r="G34" s="8"/>
      <c r="I34" s="25"/>
    </row>
    <row r="35" spans="2:9" x14ac:dyDescent="0.25">
      <c r="B35" s="1" t="s">
        <v>20</v>
      </c>
      <c r="I35" s="26">
        <f>+I32/(E4-E9)</f>
        <v>-0.32059507493844863</v>
      </c>
    </row>
    <row r="36" spans="2:9" x14ac:dyDescent="0.25">
      <c r="B36" s="1" t="s">
        <v>21</v>
      </c>
      <c r="I36" s="27">
        <f>+E4-E9</f>
        <v>215.79999999999995</v>
      </c>
    </row>
    <row r="37" spans="2:9" x14ac:dyDescent="0.25">
      <c r="B37" s="1" t="s">
        <v>22</v>
      </c>
      <c r="I37" s="50">
        <f>+(I30-I9)/I36*100</f>
        <v>87.57995759260821</v>
      </c>
    </row>
    <row r="39" spans="2:9" x14ac:dyDescent="0.25">
      <c r="G39" s="4"/>
      <c r="H39" s="4"/>
      <c r="I39" s="4"/>
    </row>
    <row r="41" spans="2:9" x14ac:dyDescent="0.25">
      <c r="D41" s="4"/>
      <c r="E41" s="4"/>
      <c r="G41" s="24"/>
      <c r="H41" s="4"/>
      <c r="I41" s="4"/>
    </row>
    <row r="42" spans="2:9" x14ac:dyDescent="0.25">
      <c r="G42" s="4"/>
      <c r="H42" s="4"/>
      <c r="I42" s="4"/>
    </row>
    <row r="44" spans="2:9" x14ac:dyDescent="0.25">
      <c r="H44" s="4"/>
      <c r="I44" s="4"/>
    </row>
    <row r="46" spans="2:9" x14ac:dyDescent="0.25">
      <c r="H46" s="4"/>
      <c r="I46" s="4"/>
    </row>
    <row r="48" spans="2:9" x14ac:dyDescent="0.25">
      <c r="H48" s="4"/>
      <c r="I48" s="4"/>
    </row>
  </sheetData>
  <pageMargins left="0.7" right="0.7" top="0.75" bottom="0.75" header="0.3" footer="0.3"/>
  <ignoredErrors>
    <ignoredError sqref="G4" unlockedFormula="1"/>
  </ignoredErrors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DE2F6-52BA-46D8-8415-CC7BEC3C5BDD}">
  <dimension ref="B1:L48"/>
  <sheetViews>
    <sheetView workbookViewId="0">
      <selection activeCell="L6" sqref="L6"/>
    </sheetView>
  </sheetViews>
  <sheetFormatPr defaultColWidth="9.140625" defaultRowHeight="15" x14ac:dyDescent="0.25"/>
  <cols>
    <col min="1" max="1" width="4.140625" style="1" customWidth="1"/>
    <col min="2" max="2" width="3.42578125" style="1" customWidth="1"/>
    <col min="3" max="3" width="24.42578125" style="1" bestFit="1" customWidth="1"/>
    <col min="4" max="4" width="9.140625" style="1"/>
    <col min="5" max="5" width="11.140625" style="1" bestFit="1" customWidth="1"/>
    <col min="6" max="6" width="14.42578125" style="1" bestFit="1" customWidth="1"/>
    <col min="7" max="7" width="9.140625" style="1"/>
    <col min="8" max="9" width="13.42578125" style="1" customWidth="1"/>
    <col min="10" max="10" width="9.140625" style="1"/>
    <col min="11" max="11" width="21" style="1" customWidth="1"/>
    <col min="12" max="16384" width="9.140625" style="1"/>
  </cols>
  <sheetData>
    <row r="1" spans="2:12" x14ac:dyDescent="0.25">
      <c r="B1" s="19" t="s">
        <v>47</v>
      </c>
    </row>
    <row r="2" spans="2:12" x14ac:dyDescent="0.25">
      <c r="B2" s="19"/>
    </row>
    <row r="3" spans="2:12" x14ac:dyDescent="0.25">
      <c r="B3" s="45" t="s">
        <v>45</v>
      </c>
      <c r="C3" s="45"/>
      <c r="D3" s="11" t="s">
        <v>0</v>
      </c>
      <c r="E3" s="11" t="s">
        <v>46</v>
      </c>
      <c r="F3" s="11" t="s">
        <v>1</v>
      </c>
      <c r="G3" s="11" t="s">
        <v>2</v>
      </c>
      <c r="H3" s="11" t="s">
        <v>3</v>
      </c>
      <c r="I3" s="11" t="s">
        <v>35</v>
      </c>
    </row>
    <row r="4" spans="2:12" x14ac:dyDescent="0.25">
      <c r="C4" s="1" t="s">
        <v>10</v>
      </c>
      <c r="D4" s="9">
        <f>+Assumptions!C3*(100-Assumptions!F17)/100</f>
        <v>99</v>
      </c>
      <c r="E4" s="9">
        <f>+(Assumptions!C10+_xlfn.DAYS(Assumptions!C14,Assumptions!C13)*Assumptions!C16+Assumptions!F16*(_xlfn.DAYS(Assumptions!F14,Assumptions!F13)))*((100-Assumptions!F15)/100)</f>
        <v>798.9</v>
      </c>
      <c r="F4" s="1" t="s">
        <v>11</v>
      </c>
      <c r="G4" s="32">
        <f>+Assumptions!F8</f>
        <v>115</v>
      </c>
      <c r="H4" s="15">
        <f>+D4*G4*E4/100</f>
        <v>90954.764999999999</v>
      </c>
      <c r="I4" s="4">
        <f>+H4/D4</f>
        <v>918.73500000000001</v>
      </c>
      <c r="J4" s="4"/>
      <c r="K4" s="20" t="s">
        <v>12</v>
      </c>
      <c r="L4" s="21" t="s">
        <v>13</v>
      </c>
    </row>
    <row r="5" spans="2:12" x14ac:dyDescent="0.25">
      <c r="K5" s="20" t="s">
        <v>14</v>
      </c>
      <c r="L5" s="22">
        <v>115</v>
      </c>
    </row>
    <row r="6" spans="2:12" x14ac:dyDescent="0.25">
      <c r="B6" s="3" t="s">
        <v>4</v>
      </c>
      <c r="C6" s="3"/>
      <c r="D6" s="3"/>
      <c r="E6" s="3"/>
      <c r="F6" s="3"/>
      <c r="G6" s="3"/>
      <c r="H6" s="46">
        <f>+H4</f>
        <v>90954.764999999999</v>
      </c>
      <c r="I6" s="5">
        <f>+H6/D4</f>
        <v>918.73500000000001</v>
      </c>
      <c r="K6" s="20" t="s">
        <v>15</v>
      </c>
      <c r="L6" s="44">
        <f>+G4-L5</f>
        <v>0</v>
      </c>
    </row>
    <row r="8" spans="2:12" x14ac:dyDescent="0.25">
      <c r="B8" s="3" t="s">
        <v>48</v>
      </c>
      <c r="D8" s="11" t="s">
        <v>0</v>
      </c>
      <c r="E8" s="11" t="s">
        <v>46</v>
      </c>
      <c r="F8" s="11" t="s">
        <v>1</v>
      </c>
      <c r="G8" s="11" t="s">
        <v>2</v>
      </c>
      <c r="H8" s="11" t="s">
        <v>3</v>
      </c>
      <c r="I8" s="11" t="s">
        <v>35</v>
      </c>
    </row>
    <row r="9" spans="2:12" x14ac:dyDescent="0.25">
      <c r="C9" s="1" t="s">
        <v>49</v>
      </c>
      <c r="D9" s="1">
        <f>+Assumptions!C3</f>
        <v>100</v>
      </c>
      <c r="E9" s="1">
        <f>+Assumptions!C10</f>
        <v>475</v>
      </c>
      <c r="F9" s="1" t="s">
        <v>11</v>
      </c>
      <c r="G9" s="7">
        <f>+Assumptions!C7</f>
        <v>155</v>
      </c>
      <c r="H9" s="15">
        <f>+G9*E9*D9/100</f>
        <v>73625</v>
      </c>
      <c r="I9" s="4">
        <f>+H9/$D$4</f>
        <v>743.68686868686871</v>
      </c>
    </row>
    <row r="10" spans="2:12" x14ac:dyDescent="0.25">
      <c r="B10" s="23"/>
      <c r="G10" s="4"/>
      <c r="H10" s="15"/>
      <c r="I10" s="4"/>
    </row>
    <row r="11" spans="2:12" x14ac:dyDescent="0.25">
      <c r="B11" s="23"/>
      <c r="C11" s="1" t="s">
        <v>9</v>
      </c>
      <c r="D11" s="6">
        <f>+E4-E9</f>
        <v>323.89999999999998</v>
      </c>
      <c r="F11" s="1" t="s">
        <v>57</v>
      </c>
      <c r="G11" s="7">
        <f>+Assumptions!C4</f>
        <v>0.55000000000000004</v>
      </c>
      <c r="H11" s="15">
        <f>+G11*D11*D4</f>
        <v>17636.355</v>
      </c>
      <c r="I11" s="4">
        <f>+H11/$D$4</f>
        <v>178.14499999999998</v>
      </c>
    </row>
    <row r="12" spans="2:12" x14ac:dyDescent="0.25">
      <c r="C12" s="1" t="s">
        <v>55</v>
      </c>
      <c r="D12" s="2">
        <v>1</v>
      </c>
      <c r="F12" s="1" t="s">
        <v>16</v>
      </c>
      <c r="G12" s="48">
        <v>16.2</v>
      </c>
      <c r="H12" s="15">
        <f>+G12*D9</f>
        <v>1620</v>
      </c>
      <c r="I12" s="4">
        <f>+H12/D4</f>
        <v>16.363636363636363</v>
      </c>
    </row>
    <row r="13" spans="2:12" x14ac:dyDescent="0.25">
      <c r="C13" s="1" t="s">
        <v>54</v>
      </c>
      <c r="D13" s="2">
        <v>300</v>
      </c>
      <c r="F13" s="1" t="s">
        <v>56</v>
      </c>
      <c r="G13" s="48">
        <v>0.05</v>
      </c>
      <c r="H13" s="15">
        <f>+D13*G13*D9</f>
        <v>1500</v>
      </c>
      <c r="I13" s="4">
        <f>+H13/D4</f>
        <v>15.151515151515152</v>
      </c>
    </row>
    <row r="14" spans="2:12" x14ac:dyDescent="0.25">
      <c r="C14" s="1" t="s">
        <v>52</v>
      </c>
      <c r="D14" s="2">
        <v>15</v>
      </c>
      <c r="F14" s="1" t="s">
        <v>56</v>
      </c>
      <c r="G14" s="48">
        <v>0.45</v>
      </c>
      <c r="H14" s="15">
        <f>+G14*D14*D9</f>
        <v>675</v>
      </c>
      <c r="I14" s="4">
        <f>+H14/D4</f>
        <v>6.8181818181818183</v>
      </c>
    </row>
    <row r="15" spans="2:12" x14ac:dyDescent="0.25">
      <c r="C15" s="1" t="s">
        <v>53</v>
      </c>
      <c r="D15" s="2">
        <v>1</v>
      </c>
      <c r="F15" s="1" t="s">
        <v>16</v>
      </c>
      <c r="G15" s="48">
        <v>8.42</v>
      </c>
      <c r="H15" s="15">
        <f>+G15*D15</f>
        <v>8.42</v>
      </c>
      <c r="I15" s="4">
        <f>+H15/D9</f>
        <v>8.4199999999999997E-2</v>
      </c>
    </row>
    <row r="16" spans="2:12" x14ac:dyDescent="0.25">
      <c r="C16" s="1" t="s">
        <v>5</v>
      </c>
      <c r="D16" s="2">
        <v>1</v>
      </c>
      <c r="F16" s="1" t="s">
        <v>16</v>
      </c>
      <c r="G16" s="48">
        <v>18.43</v>
      </c>
      <c r="H16" s="15">
        <f>+G16*D4</f>
        <v>1824.57</v>
      </c>
      <c r="I16" s="4">
        <f>+H16/D4</f>
        <v>18.43</v>
      </c>
    </row>
    <row r="17" spans="2:9" x14ac:dyDescent="0.25">
      <c r="C17" s="1" t="s">
        <v>6</v>
      </c>
      <c r="D17" s="49">
        <v>0.1</v>
      </c>
      <c r="F17" s="1" t="s">
        <v>58</v>
      </c>
      <c r="G17" s="4">
        <f>+G16</f>
        <v>18.43</v>
      </c>
      <c r="H17" s="15">
        <f>+D17*H16</f>
        <v>182.45699999999999</v>
      </c>
      <c r="I17" s="4">
        <f>+H17/D4</f>
        <v>1.843</v>
      </c>
    </row>
    <row r="18" spans="2:9" x14ac:dyDescent="0.25">
      <c r="C18" s="1" t="s">
        <v>31</v>
      </c>
      <c r="D18" s="1">
        <f>(100-Assumptions!C17)/100</f>
        <v>0.99</v>
      </c>
      <c r="F18" s="1" t="s">
        <v>16</v>
      </c>
      <c r="G18" s="48">
        <v>12</v>
      </c>
      <c r="H18" s="15">
        <f>+I18*D4</f>
        <v>1176.1199999999999</v>
      </c>
      <c r="I18" s="4">
        <f>+G18*D18</f>
        <v>11.879999999999999</v>
      </c>
    </row>
    <row r="19" spans="2:9" x14ac:dyDescent="0.25">
      <c r="C19" s="1" t="s">
        <v>17</v>
      </c>
      <c r="D19" s="24">
        <f>+Assumptions!C18</f>
        <v>6.5000000000000002E-2</v>
      </c>
      <c r="F19" s="1" t="s">
        <v>59</v>
      </c>
      <c r="G19" s="4"/>
      <c r="H19" s="15">
        <f>+D19*H9*8/12</f>
        <v>3190.4166666666665</v>
      </c>
      <c r="I19" s="4">
        <f>+H19/D4</f>
        <v>32.226430976430976</v>
      </c>
    </row>
    <row r="20" spans="2:9" x14ac:dyDescent="0.25">
      <c r="B20" s="47" t="s">
        <v>7</v>
      </c>
      <c r="G20" s="4"/>
      <c r="H20" s="46">
        <f>+SUM(H9:H19)</f>
        <v>101438.33866666666</v>
      </c>
      <c r="I20" s="5">
        <f>+SUM(I9:I19)</f>
        <v>1024.628832996633</v>
      </c>
    </row>
    <row r="21" spans="2:9" x14ac:dyDescent="0.25">
      <c r="B21" s="47"/>
      <c r="G21" s="4"/>
      <c r="H21" s="5"/>
      <c r="I21" s="5"/>
    </row>
    <row r="22" spans="2:9" x14ac:dyDescent="0.25">
      <c r="B22" s="3" t="s">
        <v>60</v>
      </c>
      <c r="G22" s="4"/>
      <c r="H22" s="15">
        <f>+H6-H20</f>
        <v>-10483.573666666663</v>
      </c>
      <c r="I22" s="4">
        <f>+I6-I20</f>
        <v>-105.89383299663302</v>
      </c>
    </row>
    <row r="23" spans="2:9" x14ac:dyDescent="0.25">
      <c r="B23" s="3"/>
      <c r="G23" s="4"/>
      <c r="H23" s="15"/>
      <c r="I23" s="4"/>
    </row>
    <row r="24" spans="2:9" x14ac:dyDescent="0.25">
      <c r="B24" s="3" t="s">
        <v>38</v>
      </c>
      <c r="G24" s="4"/>
      <c r="H24" s="15"/>
      <c r="I24" s="4"/>
    </row>
    <row r="25" spans="2:9" x14ac:dyDescent="0.25">
      <c r="C25" s="1" t="s">
        <v>61</v>
      </c>
      <c r="D25" s="2">
        <v>1</v>
      </c>
      <c r="F25" s="1" t="s">
        <v>16</v>
      </c>
      <c r="G25" s="48">
        <v>0</v>
      </c>
      <c r="H25" s="15">
        <f>+G25*D9</f>
        <v>0</v>
      </c>
      <c r="I25" s="4">
        <f>+H25/$D$4</f>
        <v>0</v>
      </c>
    </row>
    <row r="26" spans="2:9" x14ac:dyDescent="0.25">
      <c r="C26" s="1" t="s">
        <v>62</v>
      </c>
      <c r="D26" s="2">
        <v>1</v>
      </c>
      <c r="F26" s="1" t="s">
        <v>16</v>
      </c>
      <c r="G26" s="48">
        <v>0</v>
      </c>
      <c r="H26" s="15">
        <f>+G26*D9</f>
        <v>0</v>
      </c>
      <c r="I26" s="4">
        <f t="shared" ref="I26:I28" si="0">+H26/$D$4</f>
        <v>0</v>
      </c>
    </row>
    <row r="27" spans="2:9" x14ac:dyDescent="0.25">
      <c r="C27" s="1" t="s">
        <v>63</v>
      </c>
      <c r="D27" s="2">
        <v>1</v>
      </c>
      <c r="F27" s="1" t="s">
        <v>16</v>
      </c>
      <c r="G27" s="48">
        <v>0</v>
      </c>
      <c r="H27" s="15">
        <f>+G27*D9</f>
        <v>0</v>
      </c>
      <c r="I27" s="4">
        <f t="shared" si="0"/>
        <v>0</v>
      </c>
    </row>
    <row r="28" spans="2:9" x14ac:dyDescent="0.25">
      <c r="B28" s="8" t="s">
        <v>8</v>
      </c>
      <c r="G28" s="4"/>
      <c r="H28" s="46">
        <f>SUM(H25:H27)</f>
        <v>0</v>
      </c>
      <c r="I28" s="5">
        <f t="shared" si="0"/>
        <v>0</v>
      </c>
    </row>
    <row r="29" spans="2:9" x14ac:dyDescent="0.25">
      <c r="G29" s="4"/>
      <c r="H29" s="4"/>
      <c r="I29" s="4"/>
    </row>
    <row r="30" spans="2:9" x14ac:dyDescent="0.25">
      <c r="B30" s="1" t="s">
        <v>18</v>
      </c>
      <c r="H30" s="46">
        <f>+H20+H28</f>
        <v>101438.33866666666</v>
      </c>
      <c r="I30" s="5">
        <f>+I20+I28</f>
        <v>1024.628832996633</v>
      </c>
    </row>
    <row r="31" spans="2:9" x14ac:dyDescent="0.25">
      <c r="G31" s="24"/>
      <c r="I31" s="4"/>
    </row>
    <row r="32" spans="2:9" x14ac:dyDescent="0.25">
      <c r="B32" s="8" t="s">
        <v>68</v>
      </c>
      <c r="C32" s="8"/>
      <c r="D32" s="8"/>
      <c r="E32" s="8"/>
      <c r="F32" s="8"/>
      <c r="G32" s="8"/>
      <c r="I32" s="25">
        <f>+I6-I30</f>
        <v>-105.89383299663302</v>
      </c>
    </row>
    <row r="33" spans="2:9" x14ac:dyDescent="0.25">
      <c r="B33" s="8" t="s">
        <v>64</v>
      </c>
      <c r="C33" s="8"/>
      <c r="D33" s="8"/>
      <c r="E33" s="8"/>
      <c r="F33" s="8"/>
      <c r="G33" s="8"/>
      <c r="I33" s="25">
        <f>+I30/E4*100</f>
        <v>128.25495468727414</v>
      </c>
    </row>
    <row r="34" spans="2:9" x14ac:dyDescent="0.25">
      <c r="B34" s="8"/>
      <c r="C34" s="8"/>
      <c r="D34" s="8"/>
      <c r="E34" s="8"/>
      <c r="F34" s="8"/>
      <c r="G34" s="8"/>
      <c r="I34" s="25"/>
    </row>
    <row r="35" spans="2:9" x14ac:dyDescent="0.25">
      <c r="B35" s="1" t="s">
        <v>20</v>
      </c>
      <c r="I35" s="26">
        <f>+I32/(E4-E9)</f>
        <v>-0.32693372336101584</v>
      </c>
    </row>
    <row r="36" spans="2:9" x14ac:dyDescent="0.25">
      <c r="B36" s="1" t="s">
        <v>21</v>
      </c>
      <c r="I36" s="27">
        <f>+E4-E9</f>
        <v>323.89999999999998</v>
      </c>
    </row>
    <row r="37" spans="2:9" x14ac:dyDescent="0.25">
      <c r="B37" s="1" t="s">
        <v>22</v>
      </c>
      <c r="I37" s="50">
        <f>+(I30-I9)/I36*100</f>
        <v>86.737253568930029</v>
      </c>
    </row>
    <row r="39" spans="2:9" x14ac:dyDescent="0.25">
      <c r="G39" s="4"/>
      <c r="H39" s="4"/>
      <c r="I39" s="4"/>
    </row>
    <row r="41" spans="2:9" x14ac:dyDescent="0.25">
      <c r="D41" s="4"/>
      <c r="E41" s="4"/>
      <c r="G41" s="24"/>
      <c r="H41" s="4"/>
      <c r="I41" s="4"/>
    </row>
    <row r="42" spans="2:9" x14ac:dyDescent="0.25">
      <c r="G42" s="4"/>
      <c r="H42" s="4"/>
      <c r="I42" s="4"/>
    </row>
    <row r="44" spans="2:9" x14ac:dyDescent="0.25">
      <c r="H44" s="4"/>
      <c r="I44" s="4"/>
    </row>
    <row r="46" spans="2:9" x14ac:dyDescent="0.25">
      <c r="H46" s="4"/>
      <c r="I46" s="4"/>
    </row>
    <row r="48" spans="2:9" x14ac:dyDescent="0.25">
      <c r="H48" s="4"/>
      <c r="I48" s="4"/>
    </row>
  </sheetData>
  <pageMargins left="0.7" right="0.7" top="0.75" bottom="0.75" header="0.3" footer="0.3"/>
  <ignoredErrors>
    <ignoredError sqref="G4" unlockedFormula="1"/>
  </ignoredErrors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U N l T 8 u 9 i V + n A A A A + Q A A A B I A H A B D b 2 5 m a W c v U G F j a 2 F n Z S 5 4 b W w g o h g A K K A U A A A A A A A A A A A A A A A A A A A A A A A A A A A A h Y 8 x D o I w G E a v Q r r T l h K r I T 9 l c J X E h G h c G 6 z Q C M X Q Y r m b g 0 f y C p I o 6 u b 4 v b z h f Y / b H b K x b Y K r 6 q 3 u T I o i T F G g T N k d t a l S N L h T u E K Z g K 0 s z 7 J S w S Q b m 4 z 2 m K L a u U t C i P c e + x h 3 f U U Y p R E 5 5 J u i r F U r 0 U f W / + V Q G + u k K R U S s H / F C I Y 5 x 4 t 4 y X H E G Q M y c 8 i 1 + T p s S s Y U y A + E 9 d C 4 o V d C m X B X A J k n k P c N 8 Q R Q S w M E F A A C A A g A R U N l T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D Z U 8 o i k e 4 D g A A A B E A A A A T A B w A R m 9 y b X V s Y X M v U 2 V j d G l v b j E u b S C i G A A o o B Q A A A A A A A A A A A A A A A A A A A A A A A A A A A A r T k 0 u y c z P U w i G 0 I b W A F B L A Q I t A B Q A A g A I A E V D Z U / L v Y l f p w A A A P k A A A A S A A A A A A A A A A A A A A A A A A A A A A B D b 2 5 m a W c v U G F j a 2 F n Z S 5 4 b W x Q S w E C L Q A U A A I A C A B F Q 2 V P D 8 r p q 6 Q A A A D p A A A A E w A A A A A A A A A A A A A A A A D z A A A A W 0 N v b n R l b n R f V H l w Z X N d L n h t b F B L A Q I t A B Q A A g A I A E V D Z U 8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P F p S R 5 s 0 l Q o f 6 i S 0 W F / t e A A A A A A I A A A A A A B B m A A A A A Q A A I A A A A M J m 2 G l h b x L L / v B 4 u L 3 2 k F N k M P K r q G z X Q U t X E t p 7 R h m 3 A A A A A A 6 A A A A A A g A A I A A A A G 1 K 6 K Z 6 9 B T W T k l 1 K i j I W Z 2 S 9 S q O m x 7 g 8 s u e H B 4 m m A z S U A A A A C S w O c S 4 u + o S 7 S E D r E x M Y e f Z K d r O O F m o e y n k h r j R x y C M G O 0 t m f N l q m K n C 5 1 Z 1 Z g 5 A b 0 9 X R t j W K b c o L y 1 C N G d q o X S d d d P Y A C r 8 S I 8 Z K L C Y m / / Q A A A A F P i V e W E S v t c V 5 h m l n O U C N T p G 2 3 I 0 e 8 u O v v 0 N G V X 7 L 8 C 0 / d N G P + f A N S G f 2 U 3 4 8 H N c + v Q p 0 Z r W A J u 9 8 C G t m L 5 B 0 c = < / D a t a M a s h u p > 
</file>

<file path=customXml/itemProps1.xml><?xml version="1.0" encoding="utf-8"?>
<ds:datastoreItem xmlns:ds="http://schemas.openxmlformats.org/officeDocument/2006/customXml" ds:itemID="{9655B04E-5A2C-48FA-B026-DFEA2D69F6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Assumptions</vt:lpstr>
      <vt:lpstr>Comparison</vt:lpstr>
      <vt:lpstr>Stockers Margins</vt:lpstr>
      <vt:lpstr>Feedyard</vt:lpstr>
      <vt:lpstr>Stockers March1st</vt:lpstr>
      <vt:lpstr>Stockers 800 Lb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Pancho J. Abello</dc:creator>
  <cp:lastModifiedBy>Pancho J. Abello</cp:lastModifiedBy>
  <dcterms:created xsi:type="dcterms:W3CDTF">2019-09-30T18:21:19Z</dcterms:created>
  <dcterms:modified xsi:type="dcterms:W3CDTF">2020-03-19T15:10:50Z</dcterms:modified>
</cp:coreProperties>
</file>