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bf2ce8d9212bc1e/Texas A^0M Vernon/Crop Decision Aids/"/>
    </mc:Choice>
  </mc:AlternateContent>
  <xr:revisionPtr revIDLastSave="0" documentId="8_{9C9EB8A5-DEE8-4680-A63C-A87307AECAF6}" xr6:coauthVersionLast="45" xr6:coauthVersionMax="45" xr10:uidLastSave="{00000000-0000-0000-0000-000000000000}"/>
  <bookViews>
    <workbookView xWindow="-98" yWindow="-98" windowWidth="20715" windowHeight="13276" activeTab="2" xr2:uid="{C91D0FE8-EDD7-4AEC-9FCD-F20C7707563F}"/>
  </bookViews>
  <sheets>
    <sheet name="Assumptions" sheetId="14" r:id="rId1"/>
    <sheet name="Summer Crops Margins" sheetId="11" r:id="rId2"/>
    <sheet name="Wheat Farm Margins" sheetId="34" r:id="rId3"/>
    <sheet name="Wheat Grain" sheetId="32" r:id="rId4"/>
    <sheet name="Wheat Dual  ~700Lb" sheetId="2" r:id="rId5"/>
    <sheet name="Wheat Dual ~800Lb" sheetId="12" r:id="rId6"/>
    <sheet name="Wheat Graze Out" sheetId="5" r:id="rId7"/>
    <sheet name="Irrigated Wheat" sheetId="21" r:id="rId8"/>
    <sheet name="Cotton" sheetId="17" r:id="rId9"/>
    <sheet name="Irrigated Cotton" sheetId="20" r:id="rId10"/>
    <sheet name="Sorghum" sheetId="30" r:id="rId11"/>
    <sheet name="Corn Irrigated" sheetId="31" r:id="rId12"/>
  </sheets>
  <externalReferences>
    <externalReference r:id="rId13"/>
  </externalReferences>
  <definedNames>
    <definedName name="FuelperGallon">#REF!</definedName>
    <definedName name="Labor_R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7" i="5" l="1"/>
  <c r="G17" i="11"/>
  <c r="N17" i="11"/>
  <c r="U17" i="11"/>
  <c r="AB17" i="11"/>
  <c r="F17" i="31" l="1"/>
  <c r="F37" i="31"/>
  <c r="G37" i="31" s="1"/>
  <c r="F42" i="31"/>
  <c r="G42" i="31" s="1"/>
  <c r="F13" i="31"/>
  <c r="G13" i="31" s="1"/>
  <c r="F12" i="31"/>
  <c r="G12" i="31" s="1"/>
  <c r="F11" i="31"/>
  <c r="F3" i="31"/>
  <c r="U5" i="11" s="1"/>
  <c r="D3" i="31"/>
  <c r="U3" i="11" s="1"/>
  <c r="P29" i="11" s="1"/>
  <c r="F45" i="31"/>
  <c r="G45" i="31" s="1"/>
  <c r="F44" i="31"/>
  <c r="G44" i="31" s="1"/>
  <c r="F43" i="31"/>
  <c r="G43" i="31" s="1"/>
  <c r="F41" i="31"/>
  <c r="G41" i="31" s="1"/>
  <c r="G40" i="31"/>
  <c r="F39" i="31"/>
  <c r="G39" i="31" s="1"/>
  <c r="F38" i="31"/>
  <c r="G38" i="31" s="1"/>
  <c r="G29" i="31"/>
  <c r="G26" i="31"/>
  <c r="F21" i="31"/>
  <c r="G20" i="31"/>
  <c r="G19" i="31"/>
  <c r="G18" i="31"/>
  <c r="G17" i="31"/>
  <c r="G15" i="31"/>
  <c r="F16" i="31" s="1"/>
  <c r="G16" i="31" s="1"/>
  <c r="G14" i="31"/>
  <c r="G11" i="31"/>
  <c r="G10" i="31"/>
  <c r="G6" i="31"/>
  <c r="G5" i="31"/>
  <c r="G4" i="31"/>
  <c r="G1" i="31"/>
  <c r="F42" i="30"/>
  <c r="G42" i="30" s="1"/>
  <c r="F3" i="30"/>
  <c r="D3" i="30"/>
  <c r="AB3" i="11" s="1"/>
  <c r="W29" i="11" s="1"/>
  <c r="F45" i="30"/>
  <c r="G45" i="30" s="1"/>
  <c r="F44" i="30"/>
  <c r="G44" i="30" s="1"/>
  <c r="F43" i="30"/>
  <c r="G43" i="30" s="1"/>
  <c r="F41" i="30"/>
  <c r="G41" i="30" s="1"/>
  <c r="G40" i="30"/>
  <c r="F39" i="30"/>
  <c r="G39" i="30" s="1"/>
  <c r="F38" i="30"/>
  <c r="G38" i="30" s="1"/>
  <c r="G37" i="30"/>
  <c r="G29" i="30"/>
  <c r="G26" i="30"/>
  <c r="F21" i="30"/>
  <c r="G20" i="30"/>
  <c r="G19" i="30"/>
  <c r="G18" i="30"/>
  <c r="G17" i="30"/>
  <c r="G15" i="30"/>
  <c r="F16" i="30" s="1"/>
  <c r="G16" i="30" s="1"/>
  <c r="G14" i="30"/>
  <c r="G13" i="30"/>
  <c r="G12" i="30"/>
  <c r="G11" i="30"/>
  <c r="G10" i="30"/>
  <c r="G6" i="30"/>
  <c r="G5" i="30"/>
  <c r="G4" i="30"/>
  <c r="G1" i="30"/>
  <c r="F42" i="12"/>
  <c r="F40" i="12"/>
  <c r="F37" i="12"/>
  <c r="F42" i="2"/>
  <c r="F40" i="2"/>
  <c r="F37" i="2"/>
  <c r="AI12" i="34"/>
  <c r="AB12" i="34"/>
  <c r="AI3" i="34"/>
  <c r="AD29" i="34" s="1"/>
  <c r="AB3" i="34"/>
  <c r="F24" i="30" l="1"/>
  <c r="G24" i="30" s="1"/>
  <c r="G27" i="30" s="1"/>
  <c r="AB12" i="11" s="1"/>
  <c r="F24" i="31"/>
  <c r="U9" i="11"/>
  <c r="S26" i="11"/>
  <c r="AB5" i="11"/>
  <c r="P27" i="11"/>
  <c r="P28" i="11"/>
  <c r="P38" i="11"/>
  <c r="W27" i="11"/>
  <c r="W28" i="11"/>
  <c r="W38" i="11"/>
  <c r="AD30" i="34"/>
  <c r="AD38" i="34"/>
  <c r="AD47" i="34" s="1"/>
  <c r="W30" i="11"/>
  <c r="W31" i="11"/>
  <c r="P30" i="11"/>
  <c r="P31" i="11"/>
  <c r="G21" i="31"/>
  <c r="G22" i="31" s="1"/>
  <c r="U11" i="11" s="1"/>
  <c r="G47" i="31"/>
  <c r="G24" i="31"/>
  <c r="G27" i="31" s="1"/>
  <c r="U12" i="11" s="1"/>
  <c r="G3" i="31"/>
  <c r="G7" i="31" s="1"/>
  <c r="G3" i="30"/>
  <c r="G7" i="30" s="1"/>
  <c r="G21" i="30"/>
  <c r="G22" i="30" s="1"/>
  <c r="AB11" i="11" s="1"/>
  <c r="G47" i="30"/>
  <c r="AD28" i="34"/>
  <c r="AD27" i="34"/>
  <c r="AD31" i="34"/>
  <c r="U13" i="11" l="1"/>
  <c r="S31" i="11" s="1"/>
  <c r="Q26" i="11"/>
  <c r="U26" i="11"/>
  <c r="U27" i="11" s="1"/>
  <c r="T26" i="11"/>
  <c r="R26" i="11"/>
  <c r="R47" i="11" s="1"/>
  <c r="S35" i="11"/>
  <c r="AB13" i="11"/>
  <c r="Z26" i="11"/>
  <c r="Z28" i="11" s="1"/>
  <c r="AB9" i="11"/>
  <c r="W36" i="11"/>
  <c r="W47" i="11"/>
  <c r="W39" i="11"/>
  <c r="W37" i="11"/>
  <c r="W40" i="11"/>
  <c r="Q28" i="11"/>
  <c r="P40" i="11"/>
  <c r="P47" i="11"/>
  <c r="P36" i="11"/>
  <c r="P39" i="11"/>
  <c r="P37" i="11"/>
  <c r="AD46" i="34"/>
  <c r="AD45" i="34"/>
  <c r="AD49" i="34"/>
  <c r="AD48" i="34"/>
  <c r="Z47" i="11"/>
  <c r="R36" i="11"/>
  <c r="T38" i="11"/>
  <c r="AD37" i="34"/>
  <c r="AD36" i="34"/>
  <c r="AD39" i="34"/>
  <c r="AD40" i="34"/>
  <c r="S30" i="11"/>
  <c r="T31" i="11"/>
  <c r="G31" i="31"/>
  <c r="G33" i="31" s="1"/>
  <c r="G31" i="30"/>
  <c r="AB22" i="11" l="1"/>
  <c r="AB21" i="11"/>
  <c r="Z38" i="11"/>
  <c r="U31" i="11"/>
  <c r="R37" i="11"/>
  <c r="T28" i="11"/>
  <c r="Q27" i="11"/>
  <c r="U15" i="11"/>
  <c r="U19" i="11" s="1"/>
  <c r="S36" i="11"/>
  <c r="Q36" i="11"/>
  <c r="Z29" i="11"/>
  <c r="U28" i="11"/>
  <c r="Z31" i="11"/>
  <c r="S39" i="11"/>
  <c r="T35" i="11"/>
  <c r="Q35" i="11"/>
  <c r="S44" i="11"/>
  <c r="U35" i="11"/>
  <c r="R35" i="11"/>
  <c r="R38" i="11"/>
  <c r="U38" i="11"/>
  <c r="R28" i="11"/>
  <c r="T27" i="11"/>
  <c r="R31" i="11"/>
  <c r="U36" i="11"/>
  <c r="U21" i="11"/>
  <c r="U22" i="11"/>
  <c r="T36" i="11"/>
  <c r="T30" i="11"/>
  <c r="Q38" i="11"/>
  <c r="R29" i="11"/>
  <c r="Z30" i="11"/>
  <c r="S28" i="11"/>
  <c r="U30" i="11"/>
  <c r="Q31" i="11"/>
  <c r="R30" i="11"/>
  <c r="S38" i="11"/>
  <c r="U47" i="11"/>
  <c r="R40" i="11"/>
  <c r="S27" i="11"/>
  <c r="U29" i="11"/>
  <c r="Z36" i="11"/>
  <c r="T47" i="11"/>
  <c r="Q30" i="11"/>
  <c r="Q47" i="11"/>
  <c r="R27" i="11"/>
  <c r="S29" i="11"/>
  <c r="T29" i="11"/>
  <c r="Q29" i="11"/>
  <c r="S47" i="11"/>
  <c r="Z37" i="11"/>
  <c r="Z27" i="11"/>
  <c r="AB15" i="11"/>
  <c r="AB19" i="11" s="1"/>
  <c r="S37" i="11"/>
  <c r="U39" i="11"/>
  <c r="T39" i="11"/>
  <c r="U37" i="11"/>
  <c r="R39" i="11"/>
  <c r="T37" i="11"/>
  <c r="Q39" i="11"/>
  <c r="Q37" i="11"/>
  <c r="Y26" i="11"/>
  <c r="Y36" i="11" s="1"/>
  <c r="X26" i="11"/>
  <c r="X47" i="11" s="1"/>
  <c r="AB26" i="11"/>
  <c r="AB39" i="11" s="1"/>
  <c r="AA26" i="11"/>
  <c r="Z35" i="11"/>
  <c r="S40" i="11"/>
  <c r="W45" i="11"/>
  <c r="W46" i="11"/>
  <c r="W49" i="11"/>
  <c r="W48" i="11"/>
  <c r="Q40" i="11"/>
  <c r="Z40" i="11"/>
  <c r="T40" i="11"/>
  <c r="U40" i="11"/>
  <c r="Z39" i="11"/>
  <c r="P46" i="11"/>
  <c r="P45" i="11"/>
  <c r="P48" i="11"/>
  <c r="P49" i="11"/>
  <c r="G49" i="31"/>
  <c r="F34" i="31"/>
  <c r="G49" i="30"/>
  <c r="G33" i="30"/>
  <c r="F34" i="30"/>
  <c r="AB47" i="11" l="1"/>
  <c r="Q44" i="11"/>
  <c r="T44" i="11"/>
  <c r="R44" i="11"/>
  <c r="U44" i="11"/>
  <c r="X27" i="11"/>
  <c r="X31" i="11"/>
  <c r="X29" i="11"/>
  <c r="X28" i="11"/>
  <c r="X36" i="11"/>
  <c r="X38" i="11"/>
  <c r="X30" i="11"/>
  <c r="Y35" i="11"/>
  <c r="AA35" i="11"/>
  <c r="X35" i="11"/>
  <c r="Z44" i="11"/>
  <c r="AB35" i="11"/>
  <c r="AA28" i="11"/>
  <c r="AA38" i="11"/>
  <c r="AA29" i="11"/>
  <c r="AA27" i="11"/>
  <c r="AA47" i="11"/>
  <c r="AA30" i="11"/>
  <c r="AA37" i="11"/>
  <c r="AA36" i="11"/>
  <c r="AA31" i="11"/>
  <c r="AA39" i="11"/>
  <c r="Y39" i="11"/>
  <c r="Y27" i="11"/>
  <c r="Y38" i="11"/>
  <c r="Y30" i="11"/>
  <c r="Y29" i="11"/>
  <c r="Y31" i="11"/>
  <c r="Y28" i="11"/>
  <c r="AB40" i="11"/>
  <c r="X39" i="11"/>
  <c r="Y47" i="11"/>
  <c r="X37" i="11"/>
  <c r="X40" i="11"/>
  <c r="AB36" i="11"/>
  <c r="AB37" i="11"/>
  <c r="AB29" i="11"/>
  <c r="AB27" i="11"/>
  <c r="AB31" i="11"/>
  <c r="AB28" i="11"/>
  <c r="AB30" i="11"/>
  <c r="AB38" i="11"/>
  <c r="AA40" i="11"/>
  <c r="Y40" i="11"/>
  <c r="Y37" i="11"/>
  <c r="Z46" i="11"/>
  <c r="X46" i="11"/>
  <c r="Y46" i="11"/>
  <c r="AA46" i="11"/>
  <c r="AB46" i="11"/>
  <c r="Q49" i="11"/>
  <c r="U49" i="11"/>
  <c r="T49" i="11"/>
  <c r="R49" i="11"/>
  <c r="S49" i="11"/>
  <c r="Z45" i="11"/>
  <c r="X45" i="11"/>
  <c r="AA45" i="11"/>
  <c r="AB45" i="11"/>
  <c r="Y45" i="11"/>
  <c r="U48" i="11"/>
  <c r="Q48" i="11"/>
  <c r="S48" i="11"/>
  <c r="R48" i="11"/>
  <c r="T48" i="11"/>
  <c r="R45" i="11"/>
  <c r="S45" i="11"/>
  <c r="T45" i="11"/>
  <c r="Q45" i="11"/>
  <c r="U45" i="11"/>
  <c r="Y48" i="11"/>
  <c r="Z48" i="11"/>
  <c r="X48" i="11"/>
  <c r="AA48" i="11"/>
  <c r="AB48" i="11"/>
  <c r="AA49" i="11"/>
  <c r="X49" i="11"/>
  <c r="AB49" i="11"/>
  <c r="Y49" i="11"/>
  <c r="Z49" i="11"/>
  <c r="U46" i="11"/>
  <c r="T46" i="11"/>
  <c r="Q46" i="11"/>
  <c r="S46" i="11"/>
  <c r="R46" i="11"/>
  <c r="F52" i="31"/>
  <c r="G51" i="31"/>
  <c r="F52" i="30"/>
  <c r="G51" i="30"/>
  <c r="X44" i="11" l="1"/>
  <c r="AA44" i="11"/>
  <c r="Y44" i="11"/>
  <c r="AB44" i="11"/>
  <c r="F21" i="21"/>
  <c r="F21" i="5"/>
  <c r="F21" i="12"/>
  <c r="F21" i="2"/>
  <c r="L5" i="12"/>
  <c r="P5" i="12" s="1"/>
  <c r="K5" i="12"/>
  <c r="F21" i="32"/>
  <c r="F11" i="14"/>
  <c r="D3" i="32"/>
  <c r="G3" i="34" s="1"/>
  <c r="B29" i="34" s="1"/>
  <c r="B38" i="34" s="1"/>
  <c r="F45" i="32"/>
  <c r="G45" i="32" s="1"/>
  <c r="F44" i="32"/>
  <c r="G44" i="32" s="1"/>
  <c r="F43" i="32"/>
  <c r="G42" i="32"/>
  <c r="F41" i="32"/>
  <c r="G40" i="32"/>
  <c r="F39" i="32"/>
  <c r="F38" i="32"/>
  <c r="G37" i="32"/>
  <c r="G29" i="32"/>
  <c r="G26" i="32"/>
  <c r="G20" i="32"/>
  <c r="G19" i="32"/>
  <c r="G18" i="32"/>
  <c r="F17" i="32"/>
  <c r="G17" i="32" s="1"/>
  <c r="G15" i="32"/>
  <c r="F16" i="32" s="1"/>
  <c r="G16" i="32" s="1"/>
  <c r="G14" i="32"/>
  <c r="G13" i="32"/>
  <c r="G12" i="32"/>
  <c r="F11" i="32"/>
  <c r="G11" i="32" s="1"/>
  <c r="G10" i="32"/>
  <c r="G6" i="32"/>
  <c r="G5" i="32"/>
  <c r="G4" i="32"/>
  <c r="G1" i="32"/>
  <c r="F3" i="32" l="1"/>
  <c r="G5" i="34" s="1"/>
  <c r="N5" i="34" s="1"/>
  <c r="F3" i="21"/>
  <c r="AI5" i="34" s="1"/>
  <c r="F3" i="12"/>
  <c r="B47" i="34"/>
  <c r="B36" i="34"/>
  <c r="B37" i="34"/>
  <c r="B39" i="34"/>
  <c r="B40" i="34"/>
  <c r="G41" i="32"/>
  <c r="F41" i="12"/>
  <c r="F41" i="2"/>
  <c r="G43" i="32"/>
  <c r="F43" i="2"/>
  <c r="G39" i="32"/>
  <c r="F39" i="2"/>
  <c r="F39" i="12"/>
  <c r="G38" i="32"/>
  <c r="F38" i="2"/>
  <c r="F38" i="12"/>
  <c r="B30" i="34"/>
  <c r="B27" i="34"/>
  <c r="B31" i="34"/>
  <c r="B28" i="34"/>
  <c r="G21" i="32"/>
  <c r="G22" i="32" s="1"/>
  <c r="G11" i="34" s="1"/>
  <c r="F24" i="32"/>
  <c r="G24" i="32" s="1"/>
  <c r="G27" i="32" s="1"/>
  <c r="G12" i="34" s="1"/>
  <c r="E26" i="34" l="1"/>
  <c r="F26" i="34" s="1"/>
  <c r="G3" i="32"/>
  <c r="G7" i="32" s="1"/>
  <c r="G7" i="34" s="1"/>
  <c r="G9" i="34" s="1"/>
  <c r="G13" i="34"/>
  <c r="G15" i="34" s="1"/>
  <c r="G19" i="34" s="1"/>
  <c r="B49" i="34"/>
  <c r="B46" i="34"/>
  <c r="B45" i="34"/>
  <c r="B48" i="34"/>
  <c r="G47" i="32"/>
  <c r="G17" i="34" s="1"/>
  <c r="D26" i="34"/>
  <c r="C26" i="34"/>
  <c r="L26" i="34"/>
  <c r="U5" i="34"/>
  <c r="S26" i="34" s="1"/>
  <c r="G31" i="32"/>
  <c r="G33" i="32" s="1"/>
  <c r="E35" i="34" l="1"/>
  <c r="D35" i="34" s="1"/>
  <c r="G26" i="34"/>
  <c r="G38" i="34" s="1"/>
  <c r="E30" i="34"/>
  <c r="G21" i="34"/>
  <c r="C49" i="34"/>
  <c r="F47" i="34"/>
  <c r="E48" i="34"/>
  <c r="D45" i="34"/>
  <c r="D47" i="34"/>
  <c r="D49" i="34"/>
  <c r="C45" i="34"/>
  <c r="F49" i="34"/>
  <c r="E45" i="34"/>
  <c r="E47" i="34"/>
  <c r="E49" i="34"/>
  <c r="F45" i="34"/>
  <c r="C47" i="34"/>
  <c r="E46" i="34"/>
  <c r="D46" i="34"/>
  <c r="D48" i="34"/>
  <c r="C46" i="34"/>
  <c r="F46" i="34"/>
  <c r="F48" i="34"/>
  <c r="C48" i="34"/>
  <c r="D27" i="34"/>
  <c r="E39" i="34"/>
  <c r="E38" i="34"/>
  <c r="D28" i="34"/>
  <c r="E37" i="34"/>
  <c r="C29" i="34"/>
  <c r="E31" i="34"/>
  <c r="G22" i="34"/>
  <c r="E28" i="34"/>
  <c r="F28" i="34"/>
  <c r="D31" i="34"/>
  <c r="D29" i="34"/>
  <c r="E40" i="34"/>
  <c r="L35" i="34"/>
  <c r="L44" i="34" s="1"/>
  <c r="F31" i="34"/>
  <c r="F37" i="34"/>
  <c r="F39" i="34"/>
  <c r="F36" i="34"/>
  <c r="F38" i="34"/>
  <c r="F40" i="34"/>
  <c r="S35" i="34"/>
  <c r="S44" i="34" s="1"/>
  <c r="C38" i="34"/>
  <c r="C39" i="34"/>
  <c r="C40" i="34"/>
  <c r="C36" i="34"/>
  <c r="C37" i="34"/>
  <c r="C35" i="34"/>
  <c r="G35" i="34"/>
  <c r="E44" i="34"/>
  <c r="F35" i="34"/>
  <c r="C27" i="34"/>
  <c r="D36" i="34"/>
  <c r="D38" i="34"/>
  <c r="D40" i="34"/>
  <c r="D39" i="34"/>
  <c r="D37" i="34"/>
  <c r="C30" i="34"/>
  <c r="E36" i="34"/>
  <c r="E27" i="34"/>
  <c r="E29" i="34"/>
  <c r="D30" i="34"/>
  <c r="C28" i="34"/>
  <c r="C31" i="34"/>
  <c r="F29" i="34"/>
  <c r="F27" i="34"/>
  <c r="Q26" i="34"/>
  <c r="U26" i="34"/>
  <c r="T26" i="34"/>
  <c r="R26" i="34"/>
  <c r="M26" i="34"/>
  <c r="N26" i="34"/>
  <c r="K26" i="34"/>
  <c r="J26" i="34"/>
  <c r="F30" i="34"/>
  <c r="G49" i="32"/>
  <c r="F34" i="32"/>
  <c r="G36" i="34" l="1"/>
  <c r="G30" i="34"/>
  <c r="G40" i="34"/>
  <c r="G48" i="34"/>
  <c r="G28" i="34"/>
  <c r="G49" i="34"/>
  <c r="G29" i="34"/>
  <c r="G37" i="34"/>
  <c r="G47" i="34"/>
  <c r="G46" i="34"/>
  <c r="G27" i="34"/>
  <c r="G39" i="34"/>
  <c r="G31" i="34"/>
  <c r="G45" i="34"/>
  <c r="N44" i="34"/>
  <c r="M44" i="34"/>
  <c r="K44" i="34"/>
  <c r="J44" i="34"/>
  <c r="U44" i="34"/>
  <c r="T44" i="34"/>
  <c r="R44" i="34"/>
  <c r="Q44" i="34"/>
  <c r="G44" i="34"/>
  <c r="C44" i="34"/>
  <c r="F44" i="34"/>
  <c r="D44" i="34"/>
  <c r="Q35" i="34"/>
  <c r="T35" i="34"/>
  <c r="U35" i="34"/>
  <c r="R35" i="34"/>
  <c r="M35" i="34"/>
  <c r="J35" i="34"/>
  <c r="K35" i="34"/>
  <c r="N35" i="34"/>
  <c r="F52" i="32"/>
  <c r="G51" i="32"/>
  <c r="C11" i="14" l="1"/>
  <c r="C13" i="14"/>
  <c r="F21" i="20"/>
  <c r="F12" i="20"/>
  <c r="F12" i="17"/>
  <c r="F21" i="17"/>
  <c r="J5" i="2" l="1"/>
  <c r="J5" i="12" s="1"/>
  <c r="J5" i="5" s="1"/>
  <c r="J5" i="21" s="1"/>
  <c r="J4" i="2"/>
  <c r="J4" i="12" s="1"/>
  <c r="J4" i="5" s="1"/>
  <c r="J4" i="21" s="1"/>
  <c r="F42" i="20" l="1"/>
  <c r="F37" i="20"/>
  <c r="F17" i="20"/>
  <c r="F13" i="20"/>
  <c r="F11" i="20"/>
  <c r="F3" i="17"/>
  <c r="G5" i="11" s="1"/>
  <c r="F3" i="20"/>
  <c r="N5" i="11" s="1"/>
  <c r="L26" i="11" l="1"/>
  <c r="E26" i="11"/>
  <c r="G12" i="17"/>
  <c r="M26" i="11" l="1"/>
  <c r="J26" i="11"/>
  <c r="K26" i="11"/>
  <c r="N26" i="11"/>
  <c r="C26" i="11"/>
  <c r="F26" i="11"/>
  <c r="D26" i="11"/>
  <c r="G26" i="11"/>
  <c r="F4" i="17"/>
  <c r="G6" i="11" s="1"/>
  <c r="F4" i="20"/>
  <c r="N6" i="11" s="1"/>
  <c r="D4" i="17"/>
  <c r="G4" i="11" s="1"/>
  <c r="D3" i="17"/>
  <c r="D4" i="20"/>
  <c r="N4" i="11" s="1"/>
  <c r="D3" i="20"/>
  <c r="L35" i="11"/>
  <c r="E35" i="11"/>
  <c r="G6" i="12"/>
  <c r="G1" i="21"/>
  <c r="G1" i="5"/>
  <c r="G1" i="12"/>
  <c r="G1" i="2"/>
  <c r="N4" i="2"/>
  <c r="F3" i="5"/>
  <c r="D3" i="5"/>
  <c r="G3" i="5" s="1"/>
  <c r="F3" i="2"/>
  <c r="F17" i="21"/>
  <c r="G17" i="21" s="1"/>
  <c r="G11" i="21"/>
  <c r="G42" i="20"/>
  <c r="G37" i="20"/>
  <c r="G17" i="20"/>
  <c r="G12" i="20"/>
  <c r="F45" i="20"/>
  <c r="G45" i="20" s="1"/>
  <c r="F44" i="20"/>
  <c r="G44" i="20" s="1"/>
  <c r="F43" i="20"/>
  <c r="G43" i="20" s="1"/>
  <c r="F41" i="20"/>
  <c r="G41" i="20" s="1"/>
  <c r="G40" i="20"/>
  <c r="F39" i="20"/>
  <c r="G39" i="20" s="1"/>
  <c r="F38" i="20"/>
  <c r="G38" i="20" s="1"/>
  <c r="G29" i="20"/>
  <c r="G26" i="20"/>
  <c r="G20" i="20"/>
  <c r="G19" i="20"/>
  <c r="D18" i="20"/>
  <c r="G18" i="20" s="1"/>
  <c r="G15" i="20"/>
  <c r="G14" i="20"/>
  <c r="G13" i="20"/>
  <c r="G11" i="20"/>
  <c r="G10" i="20"/>
  <c r="G6" i="20"/>
  <c r="G5" i="20"/>
  <c r="G29" i="21"/>
  <c r="G26" i="21"/>
  <c r="G20" i="21"/>
  <c r="G19" i="21"/>
  <c r="G18" i="21"/>
  <c r="G15" i="21"/>
  <c r="F16" i="21" s="1"/>
  <c r="G16" i="21" s="1"/>
  <c r="G14" i="21"/>
  <c r="G13" i="21"/>
  <c r="G12" i="21"/>
  <c r="G10" i="21"/>
  <c r="G6" i="21"/>
  <c r="G5" i="21"/>
  <c r="D3" i="12"/>
  <c r="U3" i="34" s="1"/>
  <c r="P29" i="34" s="1"/>
  <c r="P38" i="34" s="1"/>
  <c r="P47" i="34" s="1"/>
  <c r="N3" i="11" l="1"/>
  <c r="N9" i="11" s="1"/>
  <c r="F24" i="20"/>
  <c r="G24" i="20" s="1"/>
  <c r="G27" i="20" s="1"/>
  <c r="N12" i="11" s="1"/>
  <c r="N13" i="11" s="1"/>
  <c r="G3" i="11"/>
  <c r="G9" i="11" s="1"/>
  <c r="E44" i="11"/>
  <c r="G35" i="11"/>
  <c r="F35" i="11"/>
  <c r="N35" i="11"/>
  <c r="M35" i="11"/>
  <c r="K35" i="11"/>
  <c r="L44" i="11"/>
  <c r="J35" i="11"/>
  <c r="P45" i="34"/>
  <c r="P46" i="34"/>
  <c r="P49" i="34"/>
  <c r="P48" i="34"/>
  <c r="P39" i="34"/>
  <c r="P37" i="34"/>
  <c r="P36" i="34"/>
  <c r="P40" i="34"/>
  <c r="N5" i="2"/>
  <c r="F4" i="2"/>
  <c r="P30" i="34"/>
  <c r="P27" i="34"/>
  <c r="P28" i="34"/>
  <c r="P31" i="34"/>
  <c r="C35" i="11"/>
  <c r="C44" i="11" s="1"/>
  <c r="D35" i="11"/>
  <c r="D44" i="11" s="1"/>
  <c r="G16" i="20"/>
  <c r="F16" i="20"/>
  <c r="G4" i="20"/>
  <c r="G3" i="20"/>
  <c r="N4" i="12"/>
  <c r="G47" i="20"/>
  <c r="G21" i="20"/>
  <c r="G22" i="20" s="1"/>
  <c r="N11" i="11" s="1"/>
  <c r="G21" i="21"/>
  <c r="G22" i="21" s="1"/>
  <c r="AI11" i="34" s="1"/>
  <c r="AI13" i="34" s="1"/>
  <c r="F24" i="21"/>
  <c r="G24" i="21" s="1"/>
  <c r="N22" i="11" l="1"/>
  <c r="N21" i="11"/>
  <c r="N15" i="11"/>
  <c r="N19" i="11" s="1"/>
  <c r="J44" i="11"/>
  <c r="N44" i="11"/>
  <c r="K44" i="11"/>
  <c r="M44" i="11"/>
  <c r="G44" i="11"/>
  <c r="F44" i="11"/>
  <c r="I29" i="11"/>
  <c r="B29" i="11"/>
  <c r="N4" i="5"/>
  <c r="F4" i="12"/>
  <c r="G27" i="21"/>
  <c r="G31" i="21" s="1"/>
  <c r="G31" i="20"/>
  <c r="F34" i="20" s="1"/>
  <c r="G7" i="20"/>
  <c r="I27" i="11" l="1"/>
  <c r="I28" i="11"/>
  <c r="I38" i="11"/>
  <c r="J38" i="11" s="1"/>
  <c r="B27" i="11"/>
  <c r="B28" i="11"/>
  <c r="B38" i="11"/>
  <c r="K38" i="11"/>
  <c r="L38" i="11"/>
  <c r="M29" i="11"/>
  <c r="J29" i="11"/>
  <c r="K29" i="11"/>
  <c r="N29" i="11"/>
  <c r="L29" i="11"/>
  <c r="I31" i="11"/>
  <c r="N31" i="11" s="1"/>
  <c r="I30" i="11"/>
  <c r="M30" i="11" s="1"/>
  <c r="B30" i="11"/>
  <c r="B31" i="11"/>
  <c r="N4" i="21"/>
  <c r="F4" i="5"/>
  <c r="G49" i="20"/>
  <c r="G51" i="20" s="1"/>
  <c r="G33" i="20"/>
  <c r="N30" i="11" l="1"/>
  <c r="L30" i="11"/>
  <c r="N38" i="11"/>
  <c r="M38" i="11"/>
  <c r="J31" i="11"/>
  <c r="M31" i="11"/>
  <c r="B39" i="11"/>
  <c r="B47" i="11"/>
  <c r="B36" i="11"/>
  <c r="B40" i="11"/>
  <c r="B37" i="11"/>
  <c r="I40" i="11"/>
  <c r="I47" i="11"/>
  <c r="I39" i="11"/>
  <c r="I36" i="11"/>
  <c r="I37" i="11"/>
  <c r="L31" i="11"/>
  <c r="K31" i="11"/>
  <c r="J30" i="11"/>
  <c r="L28" i="11"/>
  <c r="K28" i="11"/>
  <c r="J28" i="11"/>
  <c r="M28" i="11"/>
  <c r="N28" i="11"/>
  <c r="K30" i="11"/>
  <c r="L27" i="11"/>
  <c r="K27" i="11"/>
  <c r="J27" i="11"/>
  <c r="M27" i="11"/>
  <c r="N27" i="11"/>
  <c r="N5" i="21"/>
  <c r="F4" i="21"/>
  <c r="F52" i="20"/>
  <c r="D18" i="17"/>
  <c r="G18" i="17" s="1"/>
  <c r="F17" i="17"/>
  <c r="G17" i="17" s="1"/>
  <c r="G3" i="17"/>
  <c r="F45" i="17"/>
  <c r="F44" i="17"/>
  <c r="F43" i="17"/>
  <c r="F41" i="17"/>
  <c r="F39" i="17"/>
  <c r="F38" i="17"/>
  <c r="G29" i="17"/>
  <c r="G26" i="17"/>
  <c r="G20" i="17"/>
  <c r="G19" i="17"/>
  <c r="G15" i="17"/>
  <c r="F16" i="17" s="1"/>
  <c r="G16" i="17" s="1"/>
  <c r="G14" i="17"/>
  <c r="G13" i="17"/>
  <c r="G11" i="17"/>
  <c r="G10" i="17"/>
  <c r="G6" i="17"/>
  <c r="G5" i="17"/>
  <c r="I48" i="11" l="1"/>
  <c r="I49" i="11"/>
  <c r="I46" i="11"/>
  <c r="I45" i="11"/>
  <c r="L47" i="11"/>
  <c r="J47" i="11"/>
  <c r="K47" i="11"/>
  <c r="M47" i="11"/>
  <c r="N47" i="11"/>
  <c r="M36" i="11"/>
  <c r="K36" i="11"/>
  <c r="L36" i="11"/>
  <c r="N36" i="11"/>
  <c r="J36" i="11"/>
  <c r="L39" i="11"/>
  <c r="M39" i="11"/>
  <c r="K39" i="11"/>
  <c r="J39" i="11"/>
  <c r="N39" i="11"/>
  <c r="J40" i="11"/>
  <c r="K40" i="11"/>
  <c r="N40" i="11"/>
  <c r="M40" i="11"/>
  <c r="L40" i="11"/>
  <c r="N37" i="11"/>
  <c r="M37" i="11"/>
  <c r="L37" i="11"/>
  <c r="K37" i="11"/>
  <c r="J37" i="11"/>
  <c r="B46" i="11"/>
  <c r="B49" i="11"/>
  <c r="B45" i="11"/>
  <c r="B48" i="11"/>
  <c r="G40" i="17"/>
  <c r="F40" i="21"/>
  <c r="G40" i="21" s="1"/>
  <c r="G41" i="17"/>
  <c r="F41" i="21"/>
  <c r="G41" i="21" s="1"/>
  <c r="G39" i="17"/>
  <c r="F39" i="21"/>
  <c r="G39" i="21" s="1"/>
  <c r="G43" i="17"/>
  <c r="F43" i="21"/>
  <c r="G43" i="21" s="1"/>
  <c r="G45" i="17"/>
  <c r="F45" i="21"/>
  <c r="G45" i="21" s="1"/>
  <c r="G44" i="17"/>
  <c r="F44" i="21"/>
  <c r="G44" i="21" s="1"/>
  <c r="G37" i="17"/>
  <c r="F37" i="21"/>
  <c r="G37" i="21" s="1"/>
  <c r="G38" i="17"/>
  <c r="F38" i="21"/>
  <c r="G38" i="21" s="1"/>
  <c r="G42" i="17"/>
  <c r="F42" i="21"/>
  <c r="G42" i="21" s="1"/>
  <c r="G4" i="17"/>
  <c r="F24" i="17" s="1"/>
  <c r="G24" i="17" s="1"/>
  <c r="G27" i="17" s="1"/>
  <c r="G12" i="11" s="1"/>
  <c r="G13" i="11" s="1"/>
  <c r="G21" i="17"/>
  <c r="G22" i="17" s="1"/>
  <c r="G11" i="11" s="1"/>
  <c r="G21" i="11" l="1"/>
  <c r="G22" i="11"/>
  <c r="G15" i="11"/>
  <c r="G19" i="11" s="1"/>
  <c r="C28" i="11"/>
  <c r="F27" i="11"/>
  <c r="C27" i="11"/>
  <c r="G28" i="11"/>
  <c r="G27" i="11"/>
  <c r="D28" i="11"/>
  <c r="F28" i="11"/>
  <c r="E27" i="11"/>
  <c r="E28" i="11"/>
  <c r="D27" i="11"/>
  <c r="N46" i="11"/>
  <c r="K46" i="11"/>
  <c r="L46" i="11"/>
  <c r="M46" i="11"/>
  <c r="J46" i="11"/>
  <c r="N45" i="11"/>
  <c r="J45" i="11"/>
  <c r="K45" i="11"/>
  <c r="L45" i="11"/>
  <c r="M45" i="11"/>
  <c r="K49" i="11"/>
  <c r="M49" i="11"/>
  <c r="N49" i="11"/>
  <c r="J49" i="11"/>
  <c r="L49" i="11"/>
  <c r="J48" i="11"/>
  <c r="K48" i="11"/>
  <c r="M48" i="11"/>
  <c r="N48" i="11"/>
  <c r="L48" i="11"/>
  <c r="G47" i="17"/>
  <c r="G47" i="21"/>
  <c r="AI17" i="34" s="1"/>
  <c r="G31" i="17"/>
  <c r="G7" i="17"/>
  <c r="E46" i="11" l="1"/>
  <c r="E48" i="11"/>
  <c r="C47" i="11"/>
  <c r="E38" i="11"/>
  <c r="C45" i="11"/>
  <c r="C39" i="11"/>
  <c r="F46" i="11"/>
  <c r="F48" i="11"/>
  <c r="C48" i="11"/>
  <c r="F38" i="11"/>
  <c r="D47" i="11"/>
  <c r="E39" i="11"/>
  <c r="C46" i="11"/>
  <c r="G46" i="11"/>
  <c r="G48" i="11"/>
  <c r="C49" i="11"/>
  <c r="G38" i="11"/>
  <c r="D49" i="11"/>
  <c r="D45" i="11"/>
  <c r="E45" i="11"/>
  <c r="E47" i="11"/>
  <c r="E49" i="11"/>
  <c r="F39" i="11"/>
  <c r="G47" i="11"/>
  <c r="C38" i="11"/>
  <c r="D46" i="11"/>
  <c r="D38" i="11"/>
  <c r="F45" i="11"/>
  <c r="F47" i="11"/>
  <c r="F49" i="11"/>
  <c r="G39" i="11"/>
  <c r="G45" i="11"/>
  <c r="G49" i="11"/>
  <c r="D48" i="11"/>
  <c r="D39" i="11"/>
  <c r="C36" i="11"/>
  <c r="E37" i="11"/>
  <c r="F36" i="11"/>
  <c r="G36" i="11"/>
  <c r="F40" i="11"/>
  <c r="C37" i="11"/>
  <c r="E36" i="11"/>
  <c r="C40" i="11"/>
  <c r="D37" i="11"/>
  <c r="D40" i="11"/>
  <c r="F37" i="11"/>
  <c r="E40" i="11"/>
  <c r="G37" i="11"/>
  <c r="G40" i="11"/>
  <c r="D36" i="11"/>
  <c r="G29" i="11"/>
  <c r="F29" i="11"/>
  <c r="D29" i="11"/>
  <c r="C29" i="11"/>
  <c r="E29" i="11"/>
  <c r="F30" i="11"/>
  <c r="F31" i="11"/>
  <c r="D31" i="11"/>
  <c r="C31" i="11"/>
  <c r="G31" i="11"/>
  <c r="E30" i="11"/>
  <c r="G30" i="11"/>
  <c r="C30" i="11"/>
  <c r="E31" i="11"/>
  <c r="D30" i="11"/>
  <c r="G49" i="17"/>
  <c r="F52" i="17" s="1"/>
  <c r="G49" i="21"/>
  <c r="F34" i="17"/>
  <c r="G33" i="17"/>
  <c r="G51" i="17" l="1"/>
  <c r="S4" i="2" l="1"/>
  <c r="S5" i="2" l="1"/>
  <c r="L5" i="5" l="1"/>
  <c r="L5" i="21" s="1"/>
  <c r="L4" i="5"/>
  <c r="L4" i="21" s="1"/>
  <c r="K5" i="5"/>
  <c r="K4" i="5"/>
  <c r="N5" i="5"/>
  <c r="L4" i="12"/>
  <c r="P4" i="12" s="1"/>
  <c r="Q5" i="12" s="1"/>
  <c r="H3" i="12" s="1"/>
  <c r="U6" i="34" s="1"/>
  <c r="K4" i="12"/>
  <c r="K5" i="2"/>
  <c r="K4" i="2"/>
  <c r="L5" i="2"/>
  <c r="L4" i="2"/>
  <c r="N5" i="12"/>
  <c r="F5" i="12" s="1"/>
  <c r="F45" i="12"/>
  <c r="G45" i="12" s="1"/>
  <c r="F44" i="12"/>
  <c r="G44" i="12" s="1"/>
  <c r="F43" i="12"/>
  <c r="G43" i="12" s="1"/>
  <c r="G41" i="12"/>
  <c r="G40" i="12"/>
  <c r="G39" i="12"/>
  <c r="G38" i="12"/>
  <c r="G29" i="12"/>
  <c r="G26" i="12"/>
  <c r="G20" i="12"/>
  <c r="G19" i="12"/>
  <c r="G18" i="12"/>
  <c r="F17" i="12"/>
  <c r="G17" i="12" s="1"/>
  <c r="G15" i="12"/>
  <c r="F16" i="12" s="1"/>
  <c r="G16" i="12" s="1"/>
  <c r="G14" i="12"/>
  <c r="G13" i="12"/>
  <c r="G12" i="12"/>
  <c r="F11" i="12"/>
  <c r="G11" i="12" s="1"/>
  <c r="G10" i="12"/>
  <c r="F44" i="2"/>
  <c r="F45" i="2"/>
  <c r="F17" i="2"/>
  <c r="F11" i="2"/>
  <c r="G11" i="2" s="1"/>
  <c r="G42" i="5"/>
  <c r="G37" i="5"/>
  <c r="F17" i="5"/>
  <c r="G17" i="5" s="1"/>
  <c r="G45" i="5"/>
  <c r="G44" i="5"/>
  <c r="G43" i="5"/>
  <c r="G41" i="5"/>
  <c r="G40" i="5"/>
  <c r="G39" i="5"/>
  <c r="G38" i="5"/>
  <c r="G29" i="5"/>
  <c r="G26" i="5"/>
  <c r="G24" i="5"/>
  <c r="G27" i="5" s="1"/>
  <c r="G20" i="5"/>
  <c r="G19" i="5"/>
  <c r="G18" i="5"/>
  <c r="G15" i="5"/>
  <c r="F16" i="5" s="1"/>
  <c r="G16" i="5" s="1"/>
  <c r="G14" i="5"/>
  <c r="G13" i="5"/>
  <c r="G12" i="5"/>
  <c r="G11" i="5"/>
  <c r="G10" i="5"/>
  <c r="G6" i="5"/>
  <c r="F5" i="5" l="1"/>
  <c r="Z26" i="34"/>
  <c r="Q4" i="5"/>
  <c r="K4" i="21"/>
  <c r="Q5" i="5"/>
  <c r="K5" i="21"/>
  <c r="G37" i="12"/>
  <c r="G42" i="12"/>
  <c r="G21" i="12"/>
  <c r="G22" i="12" s="1"/>
  <c r="U11" i="34" s="1"/>
  <c r="F24" i="12"/>
  <c r="G24" i="12" s="1"/>
  <c r="U12" i="34" s="1"/>
  <c r="G47" i="5"/>
  <c r="AB17" i="34" s="1"/>
  <c r="G21" i="5"/>
  <c r="U13" i="34" l="1"/>
  <c r="Z35" i="34"/>
  <c r="Z44" i="34" s="1"/>
  <c r="Q6" i="5"/>
  <c r="Q7" i="5" s="1"/>
  <c r="AB26" i="34"/>
  <c r="X26" i="34"/>
  <c r="AA26" i="34"/>
  <c r="Y26" i="34"/>
  <c r="G47" i="12"/>
  <c r="U17" i="34" s="1"/>
  <c r="M4" i="5"/>
  <c r="M5" i="5"/>
  <c r="T4" i="2"/>
  <c r="G27" i="12"/>
  <c r="G31" i="12" s="1"/>
  <c r="G22" i="5"/>
  <c r="AB11" i="34" s="1"/>
  <c r="AB13" i="34" s="1"/>
  <c r="F34" i="5"/>
  <c r="Y44" i="34" l="1"/>
  <c r="AB44" i="34"/>
  <c r="AA44" i="34"/>
  <c r="X44" i="34"/>
  <c r="AA35" i="34"/>
  <c r="AB35" i="34"/>
  <c r="X35" i="34"/>
  <c r="Y35" i="34"/>
  <c r="D4" i="5"/>
  <c r="AB4" i="34"/>
  <c r="W29" i="34" s="1"/>
  <c r="W38" i="34" s="1"/>
  <c r="O5" i="5"/>
  <c r="D5" i="5"/>
  <c r="G5" i="5" s="1"/>
  <c r="G31" i="5"/>
  <c r="G49" i="5" s="1"/>
  <c r="M5" i="2"/>
  <c r="O5" i="2" s="1"/>
  <c r="Q5" i="2" s="1"/>
  <c r="T5" i="2"/>
  <c r="M5" i="21"/>
  <c r="O5" i="21" s="1"/>
  <c r="M4" i="21"/>
  <c r="O4" i="5"/>
  <c r="M5" i="12"/>
  <c r="M4" i="12"/>
  <c r="D4" i="12" s="1"/>
  <c r="M4" i="2"/>
  <c r="G49" i="12"/>
  <c r="F52" i="5"/>
  <c r="Y38" i="34" l="1"/>
  <c r="W47" i="34"/>
  <c r="X38" i="34"/>
  <c r="AA38" i="34"/>
  <c r="AB38" i="34"/>
  <c r="W39" i="34"/>
  <c r="W36" i="34"/>
  <c r="W37" i="34"/>
  <c r="Z38" i="34"/>
  <c r="N4" i="34"/>
  <c r="D4" i="2"/>
  <c r="G4" i="5"/>
  <c r="AB8" i="34" s="1"/>
  <c r="AB9" i="34" s="1"/>
  <c r="AB15" i="34" s="1"/>
  <c r="AB19" i="34" s="1"/>
  <c r="W28" i="34"/>
  <c r="W30" i="34"/>
  <c r="W27" i="34"/>
  <c r="Z29" i="34"/>
  <c r="AA29" i="34"/>
  <c r="X29" i="34"/>
  <c r="Y29" i="34"/>
  <c r="AB29" i="34"/>
  <c r="D4" i="21"/>
  <c r="AI4" i="34"/>
  <c r="AB21" i="34"/>
  <c r="AB22" i="34"/>
  <c r="O5" i="12"/>
  <c r="D5" i="12"/>
  <c r="G5" i="12" s="1"/>
  <c r="O4" i="2"/>
  <c r="O4" i="12"/>
  <c r="O4" i="21"/>
  <c r="G4" i="12"/>
  <c r="U8" i="34" s="1"/>
  <c r="G7" i="5"/>
  <c r="G33" i="5" s="1"/>
  <c r="T46" i="34" l="1"/>
  <c r="R49" i="34"/>
  <c r="R46" i="34"/>
  <c r="T48" i="34"/>
  <c r="U45" i="34"/>
  <c r="R48" i="34"/>
  <c r="Q47" i="34"/>
  <c r="R47" i="34"/>
  <c r="T47" i="34"/>
  <c r="T49" i="34"/>
  <c r="Q48" i="34"/>
  <c r="S45" i="34"/>
  <c r="Q46" i="34"/>
  <c r="T45" i="34"/>
  <c r="U48" i="34"/>
  <c r="S46" i="34"/>
  <c r="Q45" i="34"/>
  <c r="S47" i="34"/>
  <c r="R45" i="34"/>
  <c r="U46" i="34"/>
  <c r="S48" i="34"/>
  <c r="U47" i="34"/>
  <c r="S49" i="34"/>
  <c r="U49" i="34"/>
  <c r="Q49" i="34"/>
  <c r="U4" i="34"/>
  <c r="W48" i="34"/>
  <c r="AB47" i="34"/>
  <c r="AA47" i="34"/>
  <c r="W45" i="34"/>
  <c r="X47" i="34"/>
  <c r="W46" i="34"/>
  <c r="Z47" i="34"/>
  <c r="Y47" i="34"/>
  <c r="Z37" i="34"/>
  <c r="AA37" i="34"/>
  <c r="Y37" i="34"/>
  <c r="AB37" i="34"/>
  <c r="X37" i="34"/>
  <c r="Z36" i="34"/>
  <c r="Y36" i="34"/>
  <c r="AA36" i="34"/>
  <c r="X36" i="34"/>
  <c r="AB36" i="34"/>
  <c r="Q38" i="34"/>
  <c r="R36" i="34"/>
  <c r="Q40" i="34"/>
  <c r="T37" i="34"/>
  <c r="T40" i="34"/>
  <c r="Q36" i="34"/>
  <c r="S39" i="34"/>
  <c r="T38" i="34"/>
  <c r="Q39" i="34"/>
  <c r="S37" i="34"/>
  <c r="U36" i="34"/>
  <c r="U38" i="34"/>
  <c r="R37" i="34"/>
  <c r="R38" i="34"/>
  <c r="U40" i="34"/>
  <c r="R40" i="34"/>
  <c r="U37" i="34"/>
  <c r="S36" i="34"/>
  <c r="S38" i="34"/>
  <c r="T39" i="34"/>
  <c r="Q37" i="34"/>
  <c r="U39" i="34"/>
  <c r="T36" i="34"/>
  <c r="S40" i="34"/>
  <c r="R39" i="34"/>
  <c r="W40" i="34"/>
  <c r="Z39" i="34"/>
  <c r="X39" i="34"/>
  <c r="AA39" i="34"/>
  <c r="Y39" i="34"/>
  <c r="AB39" i="34"/>
  <c r="Z27" i="34"/>
  <c r="X27" i="34"/>
  <c r="AA27" i="34"/>
  <c r="AB27" i="34"/>
  <c r="Y27" i="34"/>
  <c r="U30" i="34"/>
  <c r="U27" i="34"/>
  <c r="R28" i="34"/>
  <c r="T29" i="34"/>
  <c r="S27" i="34"/>
  <c r="R27" i="34"/>
  <c r="T28" i="34"/>
  <c r="S28" i="34"/>
  <c r="R29" i="34"/>
  <c r="Q28" i="34"/>
  <c r="Q27" i="34"/>
  <c r="R31" i="34"/>
  <c r="S31" i="34"/>
  <c r="R30" i="34"/>
  <c r="U28" i="34"/>
  <c r="T30" i="34"/>
  <c r="U29" i="34"/>
  <c r="Q30" i="34"/>
  <c r="S29" i="34"/>
  <c r="T31" i="34"/>
  <c r="Q29" i="34"/>
  <c r="T27" i="34"/>
  <c r="Q31" i="34"/>
  <c r="S30" i="34"/>
  <c r="U31" i="34"/>
  <c r="W31" i="34"/>
  <c r="AB30" i="34"/>
  <c r="Y30" i="34"/>
  <c r="X30" i="34"/>
  <c r="AA30" i="34"/>
  <c r="Z30" i="34"/>
  <c r="X28" i="34"/>
  <c r="AA28" i="34"/>
  <c r="Z28" i="34"/>
  <c r="Y28" i="34"/>
  <c r="AB28" i="34"/>
  <c r="G4" i="21"/>
  <c r="AI8" i="34" s="1"/>
  <c r="G4" i="2"/>
  <c r="N8" i="34" s="1"/>
  <c r="Q4" i="2"/>
  <c r="G51" i="5"/>
  <c r="AB46" i="34" l="1"/>
  <c r="Y46" i="34"/>
  <c r="Z46" i="34"/>
  <c r="AA46" i="34"/>
  <c r="X46" i="34"/>
  <c r="AA45" i="34"/>
  <c r="AB45" i="34"/>
  <c r="Z45" i="34"/>
  <c r="X45" i="34"/>
  <c r="Y45" i="34"/>
  <c r="Y48" i="34"/>
  <c r="AB48" i="34"/>
  <c r="W49" i="34"/>
  <c r="AA48" i="34"/>
  <c r="Z48" i="34"/>
  <c r="X48" i="34"/>
  <c r="Z40" i="34"/>
  <c r="X40" i="34"/>
  <c r="AB40" i="34"/>
  <c r="AA40" i="34"/>
  <c r="Y40" i="34"/>
  <c r="Z31" i="34"/>
  <c r="Y31" i="34"/>
  <c r="AB31" i="34"/>
  <c r="AA31" i="34"/>
  <c r="X31" i="34"/>
  <c r="U21" i="34"/>
  <c r="U22" i="34"/>
  <c r="AI21" i="34"/>
  <c r="AI22" i="34"/>
  <c r="F34" i="21"/>
  <c r="F52" i="21"/>
  <c r="AA49" i="34" l="1"/>
  <c r="AB49" i="34"/>
  <c r="Z49" i="34"/>
  <c r="X49" i="34"/>
  <c r="Y49" i="34"/>
  <c r="G45" i="2"/>
  <c r="G44" i="2"/>
  <c r="G43" i="2"/>
  <c r="G42" i="2"/>
  <c r="G41" i="2"/>
  <c r="G40" i="2"/>
  <c r="G39" i="2"/>
  <c r="G38" i="2"/>
  <c r="G37" i="2"/>
  <c r="G29" i="2"/>
  <c r="G26" i="2"/>
  <c r="G20" i="2"/>
  <c r="G19" i="2"/>
  <c r="G18" i="2"/>
  <c r="G17" i="2"/>
  <c r="G15" i="2"/>
  <c r="F16" i="2" s="1"/>
  <c r="G16" i="2" s="1"/>
  <c r="G14" i="2"/>
  <c r="G13" i="2"/>
  <c r="G12" i="2"/>
  <c r="G10" i="2"/>
  <c r="G6" i="2"/>
  <c r="G5" i="2"/>
  <c r="G47" i="2" l="1"/>
  <c r="N17" i="34" s="1"/>
  <c r="G21" i="2"/>
  <c r="G22" i="2" s="1"/>
  <c r="N11" i="34" s="1"/>
  <c r="F34" i="12" l="1"/>
  <c r="F52" i="12"/>
  <c r="G3" i="21" l="1"/>
  <c r="AI7" i="34" s="1"/>
  <c r="AI9" i="34" s="1"/>
  <c r="AI15" i="34" s="1"/>
  <c r="AI19" i="34" s="1"/>
  <c r="AG26" i="34"/>
  <c r="G3" i="12"/>
  <c r="AG46" i="34" l="1"/>
  <c r="AG45" i="34"/>
  <c r="AG47" i="34"/>
  <c r="AG49" i="34"/>
  <c r="AG48" i="34"/>
  <c r="AG36" i="34"/>
  <c r="AG38" i="34"/>
  <c r="AG40" i="34"/>
  <c r="AG35" i="34"/>
  <c r="AG44" i="34" s="1"/>
  <c r="AG39" i="34"/>
  <c r="AG37" i="34"/>
  <c r="G7" i="12"/>
  <c r="U7" i="34"/>
  <c r="U9" i="34" s="1"/>
  <c r="U15" i="34" s="1"/>
  <c r="U19" i="34" s="1"/>
  <c r="G7" i="21"/>
  <c r="G51" i="21" s="1"/>
  <c r="AI26" i="34"/>
  <c r="AE26" i="34"/>
  <c r="AH26" i="34"/>
  <c r="AG30" i="34"/>
  <c r="AF26" i="34"/>
  <c r="AG29" i="34"/>
  <c r="AG28" i="34"/>
  <c r="AG27" i="34"/>
  <c r="AG31" i="34"/>
  <c r="AI46" i="34" l="1"/>
  <c r="AI48" i="34"/>
  <c r="AI49" i="34"/>
  <c r="AI45" i="34"/>
  <c r="AI47" i="34"/>
  <c r="AE49" i="34"/>
  <c r="AE46" i="34"/>
  <c r="AE45" i="34"/>
  <c r="AE48" i="34"/>
  <c r="AE47" i="34"/>
  <c r="AF45" i="34"/>
  <c r="AF47" i="34"/>
  <c r="AF49" i="34"/>
  <c r="AF48" i="34"/>
  <c r="AF46" i="34"/>
  <c r="AH48" i="34"/>
  <c r="AH45" i="34"/>
  <c r="AH47" i="34"/>
  <c r="AH49" i="34"/>
  <c r="AH46" i="34"/>
  <c r="AF44" i="34"/>
  <c r="AI44" i="34"/>
  <c r="AH44" i="34"/>
  <c r="AF36" i="34"/>
  <c r="AF38" i="34"/>
  <c r="AF40" i="34"/>
  <c r="AF37" i="34"/>
  <c r="AF39" i="34"/>
  <c r="AH37" i="34"/>
  <c r="AH39" i="34"/>
  <c r="AH36" i="34"/>
  <c r="AH38" i="34"/>
  <c r="AH40" i="34"/>
  <c r="AH35" i="34"/>
  <c r="AF35" i="34"/>
  <c r="AI35" i="34"/>
  <c r="AE39" i="34"/>
  <c r="AE40" i="34"/>
  <c r="AE38" i="34"/>
  <c r="AE36" i="34"/>
  <c r="AE35" i="34"/>
  <c r="AE44" i="34" s="1"/>
  <c r="AE37" i="34"/>
  <c r="AI37" i="34"/>
  <c r="AI39" i="34"/>
  <c r="AI36" i="34"/>
  <c r="AI38" i="34"/>
  <c r="AI40" i="34"/>
  <c r="AF29" i="34"/>
  <c r="AF28" i="34"/>
  <c r="AF30" i="34"/>
  <c r="AF31" i="34"/>
  <c r="AF27" i="34"/>
  <c r="G33" i="21"/>
  <c r="AE31" i="34"/>
  <c r="AE28" i="34"/>
  <c r="AE30" i="34"/>
  <c r="AE29" i="34"/>
  <c r="AE27" i="34"/>
  <c r="AH30" i="34"/>
  <c r="AH27" i="34"/>
  <c r="AH29" i="34"/>
  <c r="AH31" i="34"/>
  <c r="AH28" i="34"/>
  <c r="AI28" i="34"/>
  <c r="AI30" i="34"/>
  <c r="AI31" i="34"/>
  <c r="AI27" i="34"/>
  <c r="AI29" i="34"/>
  <c r="G51" i="12"/>
  <c r="G33" i="12"/>
  <c r="D3" i="2" l="1"/>
  <c r="N3" i="34" s="1"/>
  <c r="I29" i="34" s="1"/>
  <c r="I38" i="34" s="1"/>
  <c r="I47" i="34" s="1"/>
  <c r="I46" i="34" l="1"/>
  <c r="I45" i="34"/>
  <c r="I48" i="34"/>
  <c r="I49" i="34"/>
  <c r="I37" i="34"/>
  <c r="I40" i="34"/>
  <c r="I36" i="34"/>
  <c r="I39" i="34"/>
  <c r="I30" i="34"/>
  <c r="I27" i="34"/>
  <c r="I28" i="34"/>
  <c r="I31" i="34"/>
  <c r="G3" i="2"/>
  <c r="N7" i="34" s="1"/>
  <c r="N9" i="34" s="1"/>
  <c r="F24" i="2"/>
  <c r="G24" i="2" s="1"/>
  <c r="N12" i="34" s="1"/>
  <c r="N13" i="34" s="1"/>
  <c r="L38" i="34" s="1"/>
  <c r="J47" i="34" l="1"/>
  <c r="L47" i="34"/>
  <c r="K47" i="34"/>
  <c r="M47" i="34"/>
  <c r="K49" i="34"/>
  <c r="J49" i="34"/>
  <c r="M49" i="34"/>
  <c r="N49" i="34"/>
  <c r="L49" i="34"/>
  <c r="K48" i="34"/>
  <c r="J48" i="34"/>
  <c r="N48" i="34"/>
  <c r="M48" i="34"/>
  <c r="L48" i="34"/>
  <c r="M45" i="34"/>
  <c r="K45" i="34"/>
  <c r="L45" i="34"/>
  <c r="N45" i="34"/>
  <c r="J45" i="34"/>
  <c r="N47" i="34"/>
  <c r="K46" i="34"/>
  <c r="N46" i="34"/>
  <c r="J46" i="34"/>
  <c r="L46" i="34"/>
  <c r="M46" i="34"/>
  <c r="N29" i="34"/>
  <c r="N38" i="34"/>
  <c r="K29" i="34"/>
  <c r="J38" i="34"/>
  <c r="L29" i="34"/>
  <c r="J29" i="34"/>
  <c r="K38" i="34"/>
  <c r="M38" i="34"/>
  <c r="L39" i="34"/>
  <c r="K39" i="34"/>
  <c r="M39" i="34"/>
  <c r="N39" i="34"/>
  <c r="J39" i="34"/>
  <c r="L36" i="34"/>
  <c r="K36" i="34"/>
  <c r="M36" i="34"/>
  <c r="N36" i="34"/>
  <c r="J36" i="34"/>
  <c r="L37" i="34"/>
  <c r="N37" i="34"/>
  <c r="M37" i="34"/>
  <c r="J37" i="34"/>
  <c r="K37" i="34"/>
  <c r="L40" i="34"/>
  <c r="M40" i="34"/>
  <c r="K40" i="34"/>
  <c r="J40" i="34"/>
  <c r="N40" i="34"/>
  <c r="N21" i="34"/>
  <c r="N22" i="34"/>
  <c r="L28" i="34"/>
  <c r="J28" i="34"/>
  <c r="K28" i="34"/>
  <c r="M28" i="34"/>
  <c r="N28" i="34"/>
  <c r="M31" i="34"/>
  <c r="N31" i="34"/>
  <c r="J31" i="34"/>
  <c r="K31" i="34"/>
  <c r="L31" i="34"/>
  <c r="N15" i="34"/>
  <c r="N19" i="34" s="1"/>
  <c r="L27" i="34"/>
  <c r="J27" i="34"/>
  <c r="N27" i="34"/>
  <c r="K27" i="34"/>
  <c r="M27" i="34"/>
  <c r="M29" i="34"/>
  <c r="J30" i="34"/>
  <c r="K30" i="34"/>
  <c r="M30" i="34"/>
  <c r="N30" i="34"/>
  <c r="L30" i="34"/>
  <c r="G7" i="2"/>
  <c r="G27" i="2"/>
  <c r="G31" i="2" s="1"/>
  <c r="G33" i="2" l="1"/>
  <c r="F34" i="2"/>
  <c r="G49" i="2"/>
  <c r="F52" i="2" s="1"/>
  <c r="G51" i="2" l="1"/>
</calcChain>
</file>

<file path=xl/sharedStrings.xml><?xml version="1.0" encoding="utf-8"?>
<sst xmlns="http://schemas.openxmlformats.org/spreadsheetml/2006/main" count="1084" uniqueCount="168">
  <si>
    <t>TOTAL INCOME</t>
  </si>
  <si>
    <t>Quantity</t>
  </si>
  <si>
    <t>Units</t>
  </si>
  <si>
    <t>$/Unit</t>
  </si>
  <si>
    <t>Total</t>
  </si>
  <si>
    <t>Primary Commodity Sales</t>
  </si>
  <si>
    <t>Bushels</t>
  </si>
  <si>
    <t>Other Income</t>
  </si>
  <si>
    <t>Acre</t>
  </si>
  <si>
    <t>Total Revenue</t>
  </si>
  <si>
    <t>VARIABLE COSTS</t>
  </si>
  <si>
    <t>Production Costs</t>
  </si>
  <si>
    <t>Seed</t>
  </si>
  <si>
    <t>Fertilizer</t>
  </si>
  <si>
    <t>Chemicals</t>
  </si>
  <si>
    <t>Irrigation Costs</t>
  </si>
  <si>
    <t>Miscellaneous (Crop Insurance)</t>
  </si>
  <si>
    <t>Fuel</t>
  </si>
  <si>
    <t>Gallons</t>
  </si>
  <si>
    <t>Lube (As a % of fuel)</t>
  </si>
  <si>
    <t>Percent</t>
  </si>
  <si>
    <t>Repairs (excl' Harvest/Irr Eq)</t>
  </si>
  <si>
    <t>Labor</t>
  </si>
  <si>
    <t>Hours</t>
  </si>
  <si>
    <t>Custom Tillage Operations</t>
  </si>
  <si>
    <t>Custom Chemical Application</t>
  </si>
  <si>
    <t>Interest on Credit Line</t>
  </si>
  <si>
    <t>Harvest Costs</t>
  </si>
  <si>
    <t>Custom Operations/Applications</t>
  </si>
  <si>
    <t>Operator Harvested</t>
  </si>
  <si>
    <t>Labor/Fuel/Lube/Repairs/Chems</t>
  </si>
  <si>
    <t>Harvest Costs:</t>
  </si>
  <si>
    <t>Crop Share Rent</t>
  </si>
  <si>
    <t>Total Variable Costs</t>
  </si>
  <si>
    <t>Planned Returns Above Variable Costs:</t>
  </si>
  <si>
    <t>Breakeven Price to Cover Variable Costs</t>
  </si>
  <si>
    <t>FIXED COSTS</t>
  </si>
  <si>
    <t>Depreciation</t>
  </si>
  <si>
    <t>Insurance</t>
  </si>
  <si>
    <t>Taxes</t>
  </si>
  <si>
    <t>Cash Rent</t>
  </si>
  <si>
    <t>Perennial Crop Charge</t>
  </si>
  <si>
    <t>Other Overhead</t>
  </si>
  <si>
    <t>Other Fixed Costs</t>
  </si>
  <si>
    <t>Total Fixed Costs</t>
  </si>
  <si>
    <t>Total Costs</t>
  </si>
  <si>
    <t>Planned Returns to Management, Risk, and Profit:</t>
  </si>
  <si>
    <t xml:space="preserve">    Breakeven Price to Cover Total Costs</t>
  </si>
  <si>
    <t>acres / head</t>
  </si>
  <si>
    <t>price</t>
  </si>
  <si>
    <t>Machinery and Equip + Repairs</t>
  </si>
  <si>
    <t>Days</t>
  </si>
  <si>
    <t>ADG</t>
  </si>
  <si>
    <t>$/acre</t>
  </si>
  <si>
    <t>CWT</t>
  </si>
  <si>
    <t>Early Grazing Phase</t>
  </si>
  <si>
    <t>Late Grazing Phase</t>
  </si>
  <si>
    <t>heads</t>
  </si>
  <si>
    <t>Wheat Grain</t>
  </si>
  <si>
    <t>Yield</t>
  </si>
  <si>
    <t>Date Early Grazing Phase Begins</t>
  </si>
  <si>
    <t>Price</t>
  </si>
  <si>
    <t xml:space="preserve">Harvest </t>
  </si>
  <si>
    <t>Indirect Costs</t>
  </si>
  <si>
    <t>Harvested Acreage</t>
  </si>
  <si>
    <t>Income Wheat</t>
  </si>
  <si>
    <t>Income Grazing</t>
  </si>
  <si>
    <t xml:space="preserve">TC Breakeven Price </t>
  </si>
  <si>
    <t>VC Breakeven Price</t>
  </si>
  <si>
    <t>Date Late Grazing Phase Begins</t>
  </si>
  <si>
    <t>% Harvested</t>
  </si>
  <si>
    <t>Lb/head</t>
  </si>
  <si>
    <t>Lb/Acre</t>
  </si>
  <si>
    <t>Total Income ($/Acre)</t>
  </si>
  <si>
    <t>Profit/Loss ($/Acre)</t>
  </si>
  <si>
    <t>Returns Above VC ($/Acre)</t>
  </si>
  <si>
    <t>Rolling Plains Cotton</t>
  </si>
  <si>
    <t>Cotton Lint</t>
  </si>
  <si>
    <t>Cotton Seed</t>
  </si>
  <si>
    <t>Lb</t>
  </si>
  <si>
    <t>Ton</t>
  </si>
  <si>
    <t>Fertilizer (N)</t>
  </si>
  <si>
    <t>Custom fertilizer Operations</t>
  </si>
  <si>
    <t>Cotton</t>
  </si>
  <si>
    <t>Cotton Lint (Lb/Acre)</t>
  </si>
  <si>
    <t>Cotton Seed (Ton/Acre)</t>
  </si>
  <si>
    <t>Wheat ($/bu)</t>
  </si>
  <si>
    <t>Cotton Seed (S/ton)</t>
  </si>
  <si>
    <t>Grazing ($/ Lb gained)</t>
  </si>
  <si>
    <t>Fertilizer (N P)</t>
  </si>
  <si>
    <t>Rolling Plains Irrigated Cotton</t>
  </si>
  <si>
    <t>Rolling Plains Irrigated Wheat</t>
  </si>
  <si>
    <t>Rolling Plains Wheat Grazing</t>
  </si>
  <si>
    <t>Rolling Plains Wheat Dual 800 Lb</t>
  </si>
  <si>
    <t>Rolling Plains Wheat Dual 700 Lb</t>
  </si>
  <si>
    <t>Irrigated Wheat</t>
  </si>
  <si>
    <t>Irrigated Cotton Lint (Lb/Acre)</t>
  </si>
  <si>
    <t>Irrigated Cotton Seed (Ton/Acre)</t>
  </si>
  <si>
    <t>Irrigated Cotton</t>
  </si>
  <si>
    <t>VC Breakeven Grazing Price</t>
  </si>
  <si>
    <t>TC Breakeven Grazing Price</t>
  </si>
  <si>
    <t>lb/acre</t>
  </si>
  <si>
    <t>Yield Wheat</t>
  </si>
  <si>
    <t>Yield Grazing (Lb/Acre)</t>
  </si>
  <si>
    <t>$/head</t>
  </si>
  <si>
    <t>Interest Rate</t>
  </si>
  <si>
    <t>Cotton Lint (Lb)</t>
  </si>
  <si>
    <t>Cotton Seed (Ton)</t>
  </si>
  <si>
    <t>Cotton Dryland</t>
  </si>
  <si>
    <t>Harvest and gining</t>
  </si>
  <si>
    <t>Cotton Lint ($/cwt)</t>
  </si>
  <si>
    <t>Cotton Lint ($/cwt) Irrigated</t>
  </si>
  <si>
    <t>Acres</t>
  </si>
  <si>
    <t>Bu/Acre</t>
  </si>
  <si>
    <t>Pull Out Day</t>
  </si>
  <si>
    <t>Bag</t>
  </si>
  <si>
    <t>Chemicals (Herbicide and Insecticide)</t>
  </si>
  <si>
    <t>Wheat Dual Stocker ~700 LB</t>
  </si>
  <si>
    <t>Wheat Dual Stocker ~800 LB</t>
  </si>
  <si>
    <t>Wheat Grazed Out</t>
  </si>
  <si>
    <t>Wheat Grain Dryland</t>
  </si>
  <si>
    <t>W Dual Stockers 700Lb</t>
  </si>
  <si>
    <t xml:space="preserve">W Dual Stockers 800 Lb </t>
  </si>
  <si>
    <t>Wheat Yields</t>
  </si>
  <si>
    <t>Production Acreage</t>
  </si>
  <si>
    <t>Early Grazing Phase Stocking Rate (Acres/Head)</t>
  </si>
  <si>
    <t>Early Grazing Phase ADG (Lbs./Day)</t>
  </si>
  <si>
    <t>Late Grazing Phase Stocking Rate (Acres/Head)</t>
  </si>
  <si>
    <t>Late Grazing Phase ADG (Lbs./Day)</t>
  </si>
  <si>
    <t>Stockers ~700 Lb</t>
  </si>
  <si>
    <t>Stockers ~800 Lb</t>
  </si>
  <si>
    <t>Lb Acre</t>
  </si>
  <si>
    <t>Grazing Early Phase</t>
  </si>
  <si>
    <t>Heads/Acre</t>
  </si>
  <si>
    <t>Acreade %</t>
  </si>
  <si>
    <t>Profit/Loss ($/acre) - Price/Yield Sensitivity Analysis</t>
  </si>
  <si>
    <t>Grazing $/Lb</t>
  </si>
  <si>
    <t>acres/head</t>
  </si>
  <si>
    <t>Lb per</t>
  </si>
  <si>
    <t>Price Lint ($/Lb)</t>
  </si>
  <si>
    <t>Price Seed ($/ton)</t>
  </si>
  <si>
    <t>Wheat Farm Prices</t>
  </si>
  <si>
    <t>Equipment Investment</t>
  </si>
  <si>
    <t>Dryland Sorghum (CWT/Acre)</t>
  </si>
  <si>
    <t>Summer Crops Yields</t>
  </si>
  <si>
    <t>Summer Crops Prices</t>
  </si>
  <si>
    <t>Irrigated Corn (Bu/Acre)</t>
  </si>
  <si>
    <t>Irrigated Corn ($/Bu)</t>
  </si>
  <si>
    <t>Dryland Sorghum ($/CWT)</t>
  </si>
  <si>
    <t>Sorhum Dryland</t>
  </si>
  <si>
    <t>Rolling Plains Wheat for Grain Production</t>
  </si>
  <si>
    <t>Pound</t>
  </si>
  <si>
    <t>Bushel</t>
  </si>
  <si>
    <t>CustomApplication</t>
  </si>
  <si>
    <t>Irrigated Corn</t>
  </si>
  <si>
    <t>Corn Yield (bu/Acre)</t>
  </si>
  <si>
    <t>Sorghum Dryland</t>
  </si>
  <si>
    <t>Yield (CWT/Acre)</t>
  </si>
  <si>
    <t>Price ($/bu)</t>
  </si>
  <si>
    <t>Price ($/CWT)</t>
  </si>
  <si>
    <t>Cash Costs -  Sensitivity Analysis</t>
  </si>
  <si>
    <t>Prices</t>
  </si>
  <si>
    <t>Own Combine Harvest Cash Cost:</t>
  </si>
  <si>
    <t>Cash Costs -  Sensitivity Analysis - Owned Combine</t>
  </si>
  <si>
    <t>Harvest</t>
  </si>
  <si>
    <t xml:space="preserve">Profit/Loss ($/acre)  </t>
  </si>
  <si>
    <t>Cash Costs  - Owned Combine</t>
  </si>
  <si>
    <t>Cash Costs  - Owned Harvest Equip.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</si>
</sst>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  <numFmt numFmtId="164" formatCode="#,##0.0"/>
    <numFmt numFmtId="165" formatCode="0.0"/>
    <numFmt numFmtId="166" formatCode="0.0%"/>
    <numFmt numFmtId="167" formatCode="_(* #,##0_);_(* \(#,##0\);_(* &quot;-&quot;??_);_(@_)"/>
    <numFmt numFmtId="168" formatCode="&quot;$&quot;#,##0.0_);\(&quot;$&quot;#,##0.0\)"/>
    <numFmt numFmtId="169" formatCode="_(* #,##0.0_);_(* \(#,##0.0\);_(* &quot;-&quot;??_);_(@_)"/>
    <numFmt numFmtId="170" formatCode="_(* #,##0.0_);_(* \(#,##0.0\);_(* &quot;-&quot;?_);_(@_)"/>
    <numFmt numFmtId="171" formatCode="&quot;$&quot;#,##0.0_);[Red]\(&quot;$&quot;#,##0.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Univers"/>
      <family val="2"/>
    </font>
    <font>
      <b/>
      <sz val="10"/>
      <name val="Univers"/>
      <family val="2"/>
    </font>
    <font>
      <sz val="10"/>
      <color indexed="39"/>
      <name val="Univers"/>
      <family val="2"/>
    </font>
    <font>
      <sz val="10"/>
      <color rgb="FF3333FF"/>
      <name val="Univers"/>
      <family val="2"/>
    </font>
    <font>
      <sz val="11"/>
      <color rgb="FF3333FF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0" fillId="2" borderId="0" xfId="0" applyFill="1"/>
    <xf numFmtId="0" fontId="8" fillId="2" borderId="0" xfId="0" applyFont="1" applyFill="1"/>
    <xf numFmtId="0" fontId="3" fillId="2" borderId="0" xfId="0" applyFont="1" applyFill="1"/>
    <xf numFmtId="1" fontId="0" fillId="2" borderId="0" xfId="0" applyNumberFormat="1" applyFill="1"/>
    <xf numFmtId="8" fontId="0" fillId="2" borderId="0" xfId="0" applyNumberFormat="1" applyFill="1"/>
    <xf numFmtId="8" fontId="3" fillId="2" borderId="0" xfId="0" applyNumberFormat="1" applyFont="1" applyFill="1"/>
    <xf numFmtId="165" fontId="0" fillId="2" borderId="0" xfId="0" applyNumberFormat="1" applyFill="1"/>
    <xf numFmtId="43" fontId="0" fillId="2" borderId="0" xfId="0" applyNumberFormat="1" applyFill="1"/>
    <xf numFmtId="2" fontId="0" fillId="2" borderId="0" xfId="0" applyNumberFormat="1" applyFill="1"/>
    <xf numFmtId="43" fontId="0" fillId="2" borderId="0" xfId="1" applyFont="1" applyFill="1"/>
    <xf numFmtId="43" fontId="0" fillId="2" borderId="0" xfId="1" applyNumberFormat="1" applyFont="1" applyFill="1"/>
    <xf numFmtId="0" fontId="3" fillId="2" borderId="0" xfId="0" applyFont="1" applyFill="1" applyAlignment="1">
      <alignment horizontal="center"/>
    </xf>
    <xf numFmtId="0" fontId="0" fillId="2" borderId="6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2" xfId="0" applyFill="1" applyBorder="1"/>
    <xf numFmtId="0" fontId="0" fillId="2" borderId="0" xfId="0" applyFill="1" applyBorder="1"/>
    <xf numFmtId="0" fontId="0" fillId="2" borderId="3" xfId="0" applyFill="1" applyBorder="1"/>
    <xf numFmtId="43" fontId="0" fillId="2" borderId="11" xfId="0" applyNumberFormat="1" applyFill="1" applyBorder="1"/>
    <xf numFmtId="6" fontId="0" fillId="2" borderId="0" xfId="0" applyNumberFormat="1" applyFill="1"/>
    <xf numFmtId="0" fontId="0" fillId="2" borderId="13" xfId="0" applyFill="1" applyBorder="1"/>
    <xf numFmtId="167" fontId="8" fillId="2" borderId="13" xfId="1" applyNumberFormat="1" applyFont="1" applyFill="1" applyBorder="1"/>
    <xf numFmtId="43" fontId="8" fillId="2" borderId="13" xfId="1" applyNumberFormat="1" applyFont="1" applyFill="1" applyBorder="1"/>
    <xf numFmtId="0" fontId="4" fillId="2" borderId="0" xfId="0" applyFont="1" applyFill="1"/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164" fontId="6" fillId="2" borderId="0" xfId="0" applyNumberFormat="1" applyFont="1" applyFill="1" applyProtection="1">
      <protection locked="0"/>
    </xf>
    <xf numFmtId="0" fontId="6" fillId="2" borderId="0" xfId="0" applyFont="1" applyFill="1" applyAlignment="1" applyProtection="1">
      <alignment horizontal="center"/>
      <protection locked="0"/>
    </xf>
    <xf numFmtId="8" fontId="6" fillId="2" borderId="0" xfId="0" applyNumberFormat="1" applyFont="1" applyFill="1" applyProtection="1">
      <protection locked="0"/>
    </xf>
    <xf numFmtId="8" fontId="4" fillId="2" borderId="0" xfId="0" applyNumberFormat="1" applyFont="1" applyFill="1"/>
    <xf numFmtId="0" fontId="6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8" fontId="4" fillId="2" borderId="2" xfId="0" applyNumberFormat="1" applyFont="1" applyFill="1" applyBorder="1"/>
    <xf numFmtId="0" fontId="4" fillId="2" borderId="0" xfId="0" applyFont="1" applyFill="1" applyBorder="1"/>
    <xf numFmtId="8" fontId="4" fillId="2" borderId="0" xfId="0" applyNumberFormat="1" applyFont="1" applyFill="1" applyBorder="1"/>
    <xf numFmtId="8" fontId="7" fillId="2" borderId="0" xfId="0" applyNumberFormat="1" applyFont="1" applyFill="1"/>
    <xf numFmtId="165" fontId="7" fillId="2" borderId="0" xfId="0" applyNumberFormat="1" applyFont="1" applyFill="1"/>
    <xf numFmtId="8" fontId="7" fillId="2" borderId="0" xfId="0" applyNumberFormat="1" applyFont="1" applyFill="1" applyProtection="1">
      <protection locked="0"/>
    </xf>
    <xf numFmtId="166" fontId="6" fillId="2" borderId="0" xfId="0" applyNumberFormat="1" applyFont="1" applyFill="1" applyProtection="1">
      <protection locked="0"/>
    </xf>
    <xf numFmtId="8" fontId="4" fillId="2" borderId="3" xfId="0" applyNumberFormat="1" applyFont="1" applyFill="1" applyBorder="1"/>
    <xf numFmtId="0" fontId="7" fillId="2" borderId="0" xfId="0" applyFont="1" applyFill="1"/>
    <xf numFmtId="8" fontId="4" fillId="2" borderId="4" xfId="0" applyNumberFormat="1" applyFont="1" applyFill="1" applyBorder="1"/>
    <xf numFmtId="8" fontId="4" fillId="2" borderId="5" xfId="0" applyNumberFormat="1" applyFont="1" applyFill="1" applyBorder="1"/>
    <xf numFmtId="8" fontId="4" fillId="2" borderId="0" xfId="0" applyNumberFormat="1" applyFont="1" applyFill="1" applyAlignment="1">
      <alignment horizontal="center"/>
    </xf>
    <xf numFmtId="0" fontId="4" fillId="2" borderId="2" xfId="0" applyFont="1" applyFill="1" applyBorder="1"/>
    <xf numFmtId="8" fontId="4" fillId="2" borderId="2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9" fontId="0" fillId="2" borderId="0" xfId="2" applyFont="1" applyFill="1"/>
    <xf numFmtId="8" fontId="0" fillId="2" borderId="9" xfId="0" applyNumberFormat="1" applyFill="1" applyBorder="1"/>
    <xf numFmtId="8" fontId="9" fillId="2" borderId="9" xfId="0" applyNumberFormat="1" applyFont="1" applyFill="1" applyBorder="1"/>
    <xf numFmtId="0" fontId="3" fillId="2" borderId="8" xfId="0" applyFont="1" applyFill="1" applyBorder="1"/>
    <xf numFmtId="0" fontId="10" fillId="4" borderId="8" xfId="0" applyFont="1" applyFill="1" applyBorder="1"/>
    <xf numFmtId="7" fontId="10" fillId="4" borderId="9" xfId="0" applyNumberFormat="1" applyFont="1" applyFill="1" applyBorder="1"/>
    <xf numFmtId="0" fontId="10" fillId="4" borderId="10" xfId="0" applyFont="1" applyFill="1" applyBorder="1"/>
    <xf numFmtId="43" fontId="6" fillId="2" borderId="0" xfId="0" applyNumberFormat="1" applyFont="1" applyFill="1" applyProtection="1">
      <protection locked="0"/>
    </xf>
    <xf numFmtId="167" fontId="9" fillId="2" borderId="9" xfId="1" applyNumberFormat="1" applyFont="1" applyFill="1" applyBorder="1"/>
    <xf numFmtId="8" fontId="9" fillId="2" borderId="7" xfId="0" applyNumberFormat="1" applyFont="1" applyFill="1" applyBorder="1"/>
    <xf numFmtId="8" fontId="9" fillId="2" borderId="11" xfId="0" applyNumberFormat="1" applyFont="1" applyFill="1" applyBorder="1"/>
    <xf numFmtId="43" fontId="0" fillId="2" borderId="7" xfId="0" applyNumberFormat="1" applyFill="1" applyBorder="1"/>
    <xf numFmtId="0" fontId="3" fillId="2" borderId="0" xfId="0" applyFont="1" applyFill="1" applyBorder="1"/>
    <xf numFmtId="10" fontId="8" fillId="2" borderId="13" xfId="2" applyNumberFormat="1" applyFont="1" applyFill="1" applyBorder="1"/>
    <xf numFmtId="16" fontId="8" fillId="2" borderId="13" xfId="0" applyNumberFormat="1" applyFont="1" applyFill="1" applyBorder="1"/>
    <xf numFmtId="0" fontId="8" fillId="2" borderId="13" xfId="0" applyFont="1" applyFill="1" applyBorder="1"/>
    <xf numFmtId="170" fontId="0" fillId="2" borderId="0" xfId="0" applyNumberFormat="1" applyFill="1"/>
    <xf numFmtId="8" fontId="4" fillId="2" borderId="0" xfId="0" applyNumberFormat="1" applyFont="1" applyFill="1" applyProtection="1">
      <protection locked="0"/>
    </xf>
    <xf numFmtId="164" fontId="4" fillId="2" borderId="0" xfId="0" applyNumberFormat="1" applyFont="1" applyFill="1" applyProtection="1">
      <protection locked="0"/>
    </xf>
    <xf numFmtId="43" fontId="4" fillId="2" borderId="0" xfId="0" applyNumberFormat="1" applyFont="1" applyFill="1" applyProtection="1">
      <protection locked="0"/>
    </xf>
    <xf numFmtId="43" fontId="9" fillId="2" borderId="9" xfId="1" applyNumberFormat="1" applyFont="1" applyFill="1" applyBorder="1"/>
    <xf numFmtId="0" fontId="8" fillId="2" borderId="0" xfId="0" applyFont="1" applyFill="1" applyBorder="1"/>
    <xf numFmtId="43" fontId="9" fillId="2" borderId="9" xfId="0" applyNumberFormat="1" applyFont="1" applyFill="1" applyBorder="1"/>
    <xf numFmtId="9" fontId="9" fillId="2" borderId="9" xfId="2" applyFont="1" applyFill="1" applyBorder="1"/>
    <xf numFmtId="1" fontId="4" fillId="2" borderId="0" xfId="0" applyNumberFormat="1" applyFont="1" applyFill="1" applyProtection="1">
      <protection locked="0"/>
    </xf>
    <xf numFmtId="9" fontId="0" fillId="2" borderId="9" xfId="0" applyNumberFormat="1" applyFill="1" applyBorder="1"/>
    <xf numFmtId="9" fontId="0" fillId="2" borderId="0" xfId="0" applyNumberFormat="1" applyFill="1"/>
    <xf numFmtId="10" fontId="4" fillId="2" borderId="0" xfId="0" applyNumberFormat="1" applyFont="1" applyFill="1" applyProtection="1">
      <protection locked="0"/>
    </xf>
    <xf numFmtId="6" fontId="0" fillId="2" borderId="9" xfId="0" applyNumberFormat="1" applyFill="1" applyBorder="1"/>
    <xf numFmtId="0" fontId="10" fillId="4" borderId="0" xfId="0" applyFont="1" applyFill="1" applyBorder="1"/>
    <xf numFmtId="0" fontId="10" fillId="4" borderId="3" xfId="0" applyFont="1" applyFill="1" applyBorder="1"/>
    <xf numFmtId="6" fontId="10" fillId="4" borderId="9" xfId="0" applyNumberFormat="1" applyFont="1" applyFill="1" applyBorder="1"/>
    <xf numFmtId="6" fontId="9" fillId="2" borderId="9" xfId="0" applyNumberFormat="1" applyFont="1" applyFill="1" applyBorder="1"/>
    <xf numFmtId="6" fontId="3" fillId="2" borderId="9" xfId="0" applyNumberFormat="1" applyFont="1" applyFill="1" applyBorder="1"/>
    <xf numFmtId="0" fontId="3" fillId="5" borderId="17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1" fontId="3" fillId="5" borderId="21" xfId="0" applyNumberFormat="1" applyFont="1" applyFill="1" applyBorder="1" applyAlignment="1">
      <alignment horizontal="center"/>
    </xf>
    <xf numFmtId="3" fontId="0" fillId="2" borderId="18" xfId="1" applyNumberFormat="1" applyFont="1" applyFill="1" applyBorder="1"/>
    <xf numFmtId="3" fontId="0" fillId="2" borderId="19" xfId="1" applyNumberFormat="1" applyFont="1" applyFill="1" applyBorder="1"/>
    <xf numFmtId="3" fontId="0" fillId="2" borderId="20" xfId="1" applyNumberFormat="1" applyFont="1" applyFill="1" applyBorder="1"/>
    <xf numFmtId="1" fontId="3" fillId="5" borderId="25" xfId="0" applyNumberFormat="1" applyFont="1" applyFill="1" applyBorder="1" applyAlignment="1">
      <alignment horizontal="center"/>
    </xf>
    <xf numFmtId="3" fontId="0" fillId="2" borderId="26" xfId="1" applyNumberFormat="1" applyFont="1" applyFill="1" applyBorder="1"/>
    <xf numFmtId="3" fontId="0" fillId="2" borderId="13" xfId="1" applyNumberFormat="1" applyFont="1" applyFill="1" applyBorder="1"/>
    <xf numFmtId="3" fontId="0" fillId="2" borderId="27" xfId="1" applyNumberFormat="1" applyFont="1" applyFill="1" applyBorder="1"/>
    <xf numFmtId="1" fontId="3" fillId="5" borderId="28" xfId="0" applyNumberFormat="1" applyFont="1" applyFill="1" applyBorder="1" applyAlignment="1">
      <alignment horizontal="center"/>
    </xf>
    <xf numFmtId="3" fontId="0" fillId="2" borderId="22" xfId="1" applyNumberFormat="1" applyFont="1" applyFill="1" applyBorder="1"/>
    <xf numFmtId="3" fontId="0" fillId="2" borderId="23" xfId="1" applyNumberFormat="1" applyFont="1" applyFill="1" applyBorder="1"/>
    <xf numFmtId="3" fontId="0" fillId="2" borderId="24" xfId="1" applyNumberFormat="1" applyFont="1" applyFill="1" applyBorder="1"/>
    <xf numFmtId="165" fontId="3" fillId="6" borderId="22" xfId="0" applyNumberFormat="1" applyFont="1" applyFill="1" applyBorder="1" applyAlignment="1">
      <alignment horizontal="center"/>
    </xf>
    <xf numFmtId="165" fontId="3" fillId="6" borderId="23" xfId="0" applyNumberFormat="1" applyFont="1" applyFill="1" applyBorder="1" applyAlignment="1">
      <alignment horizontal="center"/>
    </xf>
    <xf numFmtId="165" fontId="3" fillId="6" borderId="24" xfId="0" applyNumberFormat="1" applyFont="1" applyFill="1" applyBorder="1" applyAlignment="1">
      <alignment horizontal="center"/>
    </xf>
    <xf numFmtId="2" fontId="3" fillId="6" borderId="22" xfId="0" applyNumberFormat="1" applyFont="1" applyFill="1" applyBorder="1" applyAlignment="1">
      <alignment horizontal="center"/>
    </xf>
    <xf numFmtId="2" fontId="3" fillId="6" borderId="23" xfId="0" applyNumberFormat="1" applyFont="1" applyFill="1" applyBorder="1" applyAlignment="1">
      <alignment horizontal="center"/>
    </xf>
    <xf numFmtId="2" fontId="3" fillId="6" borderId="24" xfId="0" applyNumberFormat="1" applyFont="1" applyFill="1" applyBorder="1" applyAlignment="1">
      <alignment horizontal="center"/>
    </xf>
    <xf numFmtId="168" fontId="10" fillId="4" borderId="9" xfId="0" applyNumberFormat="1" applyFont="1" applyFill="1" applyBorder="1"/>
    <xf numFmtId="6" fontId="0" fillId="2" borderId="8" xfId="0" applyNumberFormat="1" applyFill="1" applyBorder="1"/>
    <xf numFmtId="6" fontId="3" fillId="2" borderId="8" xfId="0" applyNumberFormat="1" applyFont="1" applyFill="1" applyBorder="1"/>
    <xf numFmtId="6" fontId="10" fillId="4" borderId="8" xfId="0" applyNumberFormat="1" applyFont="1" applyFill="1" applyBorder="1"/>
    <xf numFmtId="6" fontId="0" fillId="2" borderId="0" xfId="0" applyNumberFormat="1" applyFill="1" applyBorder="1"/>
    <xf numFmtId="6" fontId="10" fillId="4" borderId="0" xfId="0" applyNumberFormat="1" applyFont="1" applyFill="1" applyBorder="1"/>
    <xf numFmtId="6" fontId="3" fillId="2" borderId="0" xfId="0" applyNumberFormat="1" applyFont="1" applyFill="1" applyBorder="1"/>
    <xf numFmtId="168" fontId="0" fillId="2" borderId="9" xfId="0" applyNumberFormat="1" applyFill="1" applyBorder="1"/>
    <xf numFmtId="168" fontId="9" fillId="2" borderId="9" xfId="0" applyNumberFormat="1" applyFont="1" applyFill="1" applyBorder="1"/>
    <xf numFmtId="165" fontId="10" fillId="6" borderId="23" xfId="0" applyNumberFormat="1" applyFont="1" applyFill="1" applyBorder="1" applyAlignment="1">
      <alignment horizontal="center"/>
    </xf>
    <xf numFmtId="1" fontId="10" fillId="5" borderId="25" xfId="0" applyNumberFormat="1" applyFont="1" applyFill="1" applyBorder="1" applyAlignment="1">
      <alignment horizontal="center"/>
    </xf>
    <xf numFmtId="168" fontId="10" fillId="4" borderId="11" xfId="0" applyNumberFormat="1" applyFont="1" applyFill="1" applyBorder="1"/>
    <xf numFmtId="0" fontId="9" fillId="2" borderId="8" xfId="0" applyFont="1" applyFill="1" applyBorder="1"/>
    <xf numFmtId="0" fontId="9" fillId="2" borderId="0" xfId="0" applyFont="1" applyFill="1" applyBorder="1"/>
    <xf numFmtId="9" fontId="9" fillId="2" borderId="9" xfId="0" applyNumberFormat="1" applyFont="1" applyFill="1" applyBorder="1"/>
    <xf numFmtId="0" fontId="9" fillId="2" borderId="9" xfId="0" applyFont="1" applyFill="1" applyBorder="1"/>
    <xf numFmtId="0" fontId="10" fillId="2" borderId="8" xfId="0" applyFont="1" applyFill="1" applyBorder="1"/>
    <xf numFmtId="0" fontId="10" fillId="2" borderId="0" xfId="0" applyFont="1" applyFill="1" applyBorder="1"/>
    <xf numFmtId="6" fontId="10" fillId="2" borderId="9" xfId="0" applyNumberFormat="1" applyFont="1" applyFill="1" applyBorder="1"/>
    <xf numFmtId="9" fontId="0" fillId="2" borderId="9" xfId="2" applyFont="1" applyFill="1" applyBorder="1"/>
    <xf numFmtId="2" fontId="10" fillId="6" borderId="23" xfId="0" applyNumberFormat="1" applyFont="1" applyFill="1" applyBorder="1" applyAlignment="1">
      <alignment horizontal="center"/>
    </xf>
    <xf numFmtId="169" fontId="8" fillId="2" borderId="13" xfId="1" applyNumberFormat="1" applyFont="1" applyFill="1" applyBorder="1"/>
    <xf numFmtId="3" fontId="0" fillId="2" borderId="0" xfId="1" applyNumberFormat="1" applyFont="1" applyFill="1" applyBorder="1"/>
    <xf numFmtId="1" fontId="3" fillId="2" borderId="0" xfId="0" applyNumberFormat="1" applyFont="1" applyFill="1" applyBorder="1" applyAlignment="1">
      <alignment horizontal="center"/>
    </xf>
    <xf numFmtId="0" fontId="11" fillId="2" borderId="0" xfId="0" applyFont="1" applyFill="1"/>
    <xf numFmtId="168" fontId="0" fillId="2" borderId="0" xfId="0" applyNumberFormat="1" applyFill="1"/>
    <xf numFmtId="168" fontId="9" fillId="2" borderId="7" xfId="0" applyNumberFormat="1" applyFont="1" applyFill="1" applyBorder="1"/>
    <xf numFmtId="168" fontId="9" fillId="2" borderId="11" xfId="0" applyNumberFormat="1" applyFont="1" applyFill="1" applyBorder="1"/>
    <xf numFmtId="5" fontId="10" fillId="4" borderId="9" xfId="0" applyNumberFormat="1" applyFont="1" applyFill="1" applyBorder="1"/>
    <xf numFmtId="5" fontId="10" fillId="4" borderId="11" xfId="0" applyNumberFormat="1" applyFont="1" applyFill="1" applyBorder="1"/>
    <xf numFmtId="5" fontId="9" fillId="2" borderId="9" xfId="0" applyNumberFormat="1" applyFont="1" applyFill="1" applyBorder="1"/>
    <xf numFmtId="5" fontId="0" fillId="2" borderId="9" xfId="0" applyNumberFormat="1" applyFill="1" applyBorder="1"/>
    <xf numFmtId="171" fontId="9" fillId="2" borderId="9" xfId="0" applyNumberFormat="1" applyFont="1" applyFill="1" applyBorder="1"/>
    <xf numFmtId="171" fontId="9" fillId="2" borderId="7" xfId="0" applyNumberFormat="1" applyFont="1" applyFill="1" applyBorder="1"/>
    <xf numFmtId="171" fontId="9" fillId="2" borderId="11" xfId="0" applyNumberFormat="1" applyFont="1" applyFill="1" applyBorder="1"/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3" fillId="6" borderId="18" xfId="0" applyFont="1" applyFill="1" applyBorder="1" applyAlignment="1">
      <alignment horizontal="center"/>
    </xf>
    <xf numFmtId="0" fontId="3" fillId="6" borderId="19" xfId="0" applyFont="1" applyFill="1" applyBorder="1" applyAlignment="1">
      <alignment horizontal="center"/>
    </xf>
    <xf numFmtId="0" fontId="3" fillId="6" borderId="20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3333FF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bf2ce8d9212bc1e/Texas%20A%5e0M%20Vernon/Farm%20Example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Summary"/>
      <sheetName val="Graphs"/>
      <sheetName val="IS"/>
      <sheetName val="Farm Margins"/>
      <sheetName val="Cow-Calf Margins"/>
      <sheetName val="Stockers Margins"/>
      <sheetName val="Wheat Sales"/>
      <sheetName val="Cotton Sales"/>
      <sheetName val="Stockers Sales"/>
      <sheetName val="Wheat Grain"/>
      <sheetName val="Wheat Dual A EGP"/>
      <sheetName val="Wheat Dual A LGP"/>
      <sheetName val="Wheat Grazing"/>
      <sheetName val="Irrigated Wheat"/>
      <sheetName val="Cotton"/>
      <sheetName val="Irrigated Cotton"/>
      <sheetName val="Cow-Calf DT"/>
      <sheetName val="StockerSB"/>
      <sheetName val="S Def"/>
      <sheetName val="Purch CT"/>
      <sheetName val="Sheet1"/>
      <sheetName val="Data"/>
    </sheetNames>
    <sheetDataSet>
      <sheetData sheetId="0">
        <row r="8">
          <cell r="C8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1">
          <cell r="F11">
            <v>50.5</v>
          </cell>
        </row>
        <row r="38">
          <cell r="F38">
            <v>0</v>
          </cell>
        </row>
        <row r="39">
          <cell r="F39">
            <v>0</v>
          </cell>
        </row>
        <row r="41">
          <cell r="F41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D36FD-C453-4C1C-8BDE-D9DB2AB52B99}">
  <dimension ref="B3:F70"/>
  <sheetViews>
    <sheetView topLeftCell="A2" zoomScale="120" zoomScaleNormal="120" workbookViewId="0">
      <selection activeCell="D6" sqref="D6"/>
    </sheetView>
  </sheetViews>
  <sheetFormatPr defaultColWidth="8.86328125" defaultRowHeight="14.25" x14ac:dyDescent="0.45"/>
  <cols>
    <col min="1" max="1" width="5.1328125" style="1" customWidth="1"/>
    <col min="2" max="2" width="30.73046875" style="1" bestFit="1" customWidth="1"/>
    <col min="3" max="3" width="9.59765625" style="1" customWidth="1"/>
    <col min="4" max="4" width="8.86328125" style="1"/>
    <col min="5" max="5" width="39.796875" style="1" bestFit="1" customWidth="1"/>
    <col min="6" max="16384" width="8.86328125" style="1"/>
  </cols>
  <sheetData>
    <row r="3" spans="2:6" x14ac:dyDescent="0.45">
      <c r="B3" s="63" t="s">
        <v>105</v>
      </c>
      <c r="C3" s="64">
        <v>6.5000000000000002E-2</v>
      </c>
      <c r="E3" s="3" t="s">
        <v>123</v>
      </c>
      <c r="F3" s="12" t="s">
        <v>113</v>
      </c>
    </row>
    <row r="4" spans="2:6" x14ac:dyDescent="0.45">
      <c r="E4" s="22" t="s">
        <v>120</v>
      </c>
      <c r="F4" s="23">
        <v>35</v>
      </c>
    </row>
    <row r="5" spans="2:6" x14ac:dyDescent="0.45">
      <c r="B5" s="3" t="s">
        <v>124</v>
      </c>
      <c r="C5" s="12" t="s">
        <v>112</v>
      </c>
      <c r="E5" s="22" t="s">
        <v>121</v>
      </c>
      <c r="F5" s="23">
        <v>30</v>
      </c>
    </row>
    <row r="6" spans="2:6" x14ac:dyDescent="0.45">
      <c r="B6" s="22" t="s">
        <v>83</v>
      </c>
      <c r="C6" s="23">
        <v>100</v>
      </c>
      <c r="E6" s="22" t="s">
        <v>122</v>
      </c>
      <c r="F6" s="23">
        <v>30</v>
      </c>
    </row>
    <row r="7" spans="2:6" x14ac:dyDescent="0.45">
      <c r="B7" s="22" t="s">
        <v>98</v>
      </c>
      <c r="C7" s="23">
        <v>100</v>
      </c>
      <c r="E7" s="22" t="s">
        <v>119</v>
      </c>
      <c r="F7" s="23">
        <v>0</v>
      </c>
    </row>
    <row r="8" spans="2:6" x14ac:dyDescent="0.45">
      <c r="E8" s="22" t="s">
        <v>95</v>
      </c>
      <c r="F8" s="23">
        <v>60</v>
      </c>
    </row>
    <row r="9" spans="2:6" x14ac:dyDescent="0.45">
      <c r="B9" s="3" t="s">
        <v>144</v>
      </c>
    </row>
    <row r="10" spans="2:6" x14ac:dyDescent="0.45">
      <c r="B10" s="22" t="s">
        <v>84</v>
      </c>
      <c r="C10" s="23">
        <v>400</v>
      </c>
      <c r="E10" s="3" t="s">
        <v>141</v>
      </c>
      <c r="F10" s="12"/>
    </row>
    <row r="11" spans="2:6" x14ac:dyDescent="0.45">
      <c r="B11" s="22" t="s">
        <v>85</v>
      </c>
      <c r="C11" s="24">
        <f>+C10*0.00075</f>
        <v>0.3</v>
      </c>
      <c r="E11" s="22" t="s">
        <v>86</v>
      </c>
      <c r="F11" s="24">
        <f>5-0.4</f>
        <v>4.5999999999999996</v>
      </c>
    </row>
    <row r="12" spans="2:6" x14ac:dyDescent="0.45">
      <c r="B12" s="22" t="s">
        <v>96</v>
      </c>
      <c r="C12" s="23">
        <v>1000</v>
      </c>
      <c r="E12" s="22" t="s">
        <v>88</v>
      </c>
      <c r="F12" s="24">
        <v>0.55000000000000004</v>
      </c>
    </row>
    <row r="13" spans="2:6" x14ac:dyDescent="0.45">
      <c r="B13" s="22" t="s">
        <v>97</v>
      </c>
      <c r="C13" s="24">
        <f>+C12*0.00075</f>
        <v>0.75</v>
      </c>
    </row>
    <row r="14" spans="2:6" x14ac:dyDescent="0.45">
      <c r="B14" s="22" t="s">
        <v>146</v>
      </c>
      <c r="C14" s="23">
        <v>160</v>
      </c>
      <c r="E14" s="63" t="s">
        <v>129</v>
      </c>
      <c r="F14" s="63"/>
    </row>
    <row r="15" spans="2:6" x14ac:dyDescent="0.45">
      <c r="B15" s="22" t="s">
        <v>143</v>
      </c>
      <c r="C15" s="23">
        <v>25</v>
      </c>
      <c r="E15" s="18" t="s">
        <v>60</v>
      </c>
      <c r="F15" s="65">
        <v>43794</v>
      </c>
    </row>
    <row r="16" spans="2:6" x14ac:dyDescent="0.45">
      <c r="E16" s="18" t="s">
        <v>125</v>
      </c>
      <c r="F16" s="66">
        <v>2</v>
      </c>
    </row>
    <row r="17" spans="2:6" x14ac:dyDescent="0.45">
      <c r="B17" s="3" t="s">
        <v>145</v>
      </c>
      <c r="E17" s="18" t="s">
        <v>126</v>
      </c>
      <c r="F17" s="66">
        <v>1.5</v>
      </c>
    </row>
    <row r="18" spans="2:6" x14ac:dyDescent="0.45">
      <c r="B18" s="22" t="s">
        <v>110</v>
      </c>
      <c r="C18" s="23">
        <v>52</v>
      </c>
      <c r="E18" s="18"/>
      <c r="F18" s="72"/>
    </row>
    <row r="19" spans="2:6" x14ac:dyDescent="0.45">
      <c r="B19" s="22" t="s">
        <v>111</v>
      </c>
      <c r="C19" s="23">
        <v>52</v>
      </c>
      <c r="E19" s="63" t="s">
        <v>130</v>
      </c>
    </row>
    <row r="20" spans="2:6" x14ac:dyDescent="0.45">
      <c r="B20" s="22" t="s">
        <v>87</v>
      </c>
      <c r="C20" s="23">
        <v>180</v>
      </c>
      <c r="E20" s="18" t="s">
        <v>69</v>
      </c>
      <c r="F20" s="65">
        <v>43905</v>
      </c>
    </row>
    <row r="21" spans="2:6" x14ac:dyDescent="0.45">
      <c r="B21" s="22" t="s">
        <v>147</v>
      </c>
      <c r="C21" s="126">
        <v>3.4</v>
      </c>
      <c r="E21" s="18" t="s">
        <v>127</v>
      </c>
      <c r="F21" s="66">
        <v>0.75</v>
      </c>
    </row>
    <row r="22" spans="2:6" x14ac:dyDescent="0.45">
      <c r="B22" s="22" t="s">
        <v>148</v>
      </c>
      <c r="C22" s="126">
        <v>6</v>
      </c>
      <c r="E22" s="18" t="s">
        <v>128</v>
      </c>
      <c r="F22" s="66">
        <v>2.35</v>
      </c>
    </row>
    <row r="23" spans="2:6" x14ac:dyDescent="0.45">
      <c r="E23" s="18" t="s">
        <v>114</v>
      </c>
      <c r="F23" s="65">
        <v>43952</v>
      </c>
    </row>
    <row r="27" spans="2:6" x14ac:dyDescent="0.45">
      <c r="B27" s="18"/>
      <c r="C27" s="18"/>
    </row>
    <row r="33" spans="2:3" x14ac:dyDescent="0.45">
      <c r="B33" s="18"/>
      <c r="C33" s="18"/>
    </row>
    <row r="39" spans="2:3" x14ac:dyDescent="0.45">
      <c r="B39" s="18"/>
      <c r="C39" s="18"/>
    </row>
    <row r="70" spans="3:3" x14ac:dyDescent="0.45">
      <c r="C70" s="18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5033A-F3CF-4CE5-86CF-364651D77831}">
  <dimension ref="A1:P53"/>
  <sheetViews>
    <sheetView topLeftCell="A10" zoomScale="160" zoomScaleNormal="160" workbookViewId="0">
      <selection activeCell="F23" sqref="F23"/>
    </sheetView>
  </sheetViews>
  <sheetFormatPr defaultRowHeight="14.25" x14ac:dyDescent="0.45"/>
  <cols>
    <col min="1" max="2" width="3" style="1" customWidth="1"/>
    <col min="3" max="3" width="27.1328125" style="1" customWidth="1"/>
    <col min="4" max="7" width="10.1328125" style="1" customWidth="1"/>
    <col min="8" max="8" width="12" style="1" bestFit="1" customWidth="1"/>
    <col min="9" max="10" width="9.1328125" style="1"/>
    <col min="17" max="255" width="9.1328125" style="1"/>
    <col min="256" max="257" width="3" style="1" customWidth="1"/>
    <col min="258" max="258" width="27.1328125" style="1" customWidth="1"/>
    <col min="259" max="263" width="10.1328125" style="1" customWidth="1"/>
    <col min="264" max="511" width="9.1328125" style="1"/>
    <col min="512" max="513" width="3" style="1" customWidth="1"/>
    <col min="514" max="514" width="27.1328125" style="1" customWidth="1"/>
    <col min="515" max="519" width="10.1328125" style="1" customWidth="1"/>
    <col min="520" max="767" width="9.1328125" style="1"/>
    <col min="768" max="769" width="3" style="1" customWidth="1"/>
    <col min="770" max="770" width="27.1328125" style="1" customWidth="1"/>
    <col min="771" max="775" width="10.1328125" style="1" customWidth="1"/>
    <col min="776" max="1023" width="9.1328125" style="1"/>
    <col min="1024" max="1025" width="3" style="1" customWidth="1"/>
    <col min="1026" max="1026" width="27.1328125" style="1" customWidth="1"/>
    <col min="1027" max="1031" width="10.1328125" style="1" customWidth="1"/>
    <col min="1032" max="1279" width="9.1328125" style="1"/>
    <col min="1280" max="1281" width="3" style="1" customWidth="1"/>
    <col min="1282" max="1282" width="27.1328125" style="1" customWidth="1"/>
    <col min="1283" max="1287" width="10.1328125" style="1" customWidth="1"/>
    <col min="1288" max="1535" width="9.1328125" style="1"/>
    <col min="1536" max="1537" width="3" style="1" customWidth="1"/>
    <col min="1538" max="1538" width="27.1328125" style="1" customWidth="1"/>
    <col min="1539" max="1543" width="10.1328125" style="1" customWidth="1"/>
    <col min="1544" max="1791" width="9.1328125" style="1"/>
    <col min="1792" max="1793" width="3" style="1" customWidth="1"/>
    <col min="1794" max="1794" width="27.1328125" style="1" customWidth="1"/>
    <col min="1795" max="1799" width="10.1328125" style="1" customWidth="1"/>
    <col min="1800" max="2047" width="9.1328125" style="1"/>
    <col min="2048" max="2049" width="3" style="1" customWidth="1"/>
    <col min="2050" max="2050" width="27.1328125" style="1" customWidth="1"/>
    <col min="2051" max="2055" width="10.1328125" style="1" customWidth="1"/>
    <col min="2056" max="2303" width="9.1328125" style="1"/>
    <col min="2304" max="2305" width="3" style="1" customWidth="1"/>
    <col min="2306" max="2306" width="27.1328125" style="1" customWidth="1"/>
    <col min="2307" max="2311" width="10.1328125" style="1" customWidth="1"/>
    <col min="2312" max="2559" width="9.1328125" style="1"/>
    <col min="2560" max="2561" width="3" style="1" customWidth="1"/>
    <col min="2562" max="2562" width="27.1328125" style="1" customWidth="1"/>
    <col min="2563" max="2567" width="10.1328125" style="1" customWidth="1"/>
    <col min="2568" max="2815" width="9.1328125" style="1"/>
    <col min="2816" max="2817" width="3" style="1" customWidth="1"/>
    <col min="2818" max="2818" width="27.1328125" style="1" customWidth="1"/>
    <col min="2819" max="2823" width="10.1328125" style="1" customWidth="1"/>
    <col min="2824" max="3071" width="9.1328125" style="1"/>
    <col min="3072" max="3073" width="3" style="1" customWidth="1"/>
    <col min="3074" max="3074" width="27.1328125" style="1" customWidth="1"/>
    <col min="3075" max="3079" width="10.1328125" style="1" customWidth="1"/>
    <col min="3080" max="3327" width="9.1328125" style="1"/>
    <col min="3328" max="3329" width="3" style="1" customWidth="1"/>
    <col min="3330" max="3330" width="27.1328125" style="1" customWidth="1"/>
    <col min="3331" max="3335" width="10.1328125" style="1" customWidth="1"/>
    <col min="3336" max="3583" width="9.1328125" style="1"/>
    <col min="3584" max="3585" width="3" style="1" customWidth="1"/>
    <col min="3586" max="3586" width="27.1328125" style="1" customWidth="1"/>
    <col min="3587" max="3591" width="10.1328125" style="1" customWidth="1"/>
    <col min="3592" max="3839" width="9.1328125" style="1"/>
    <col min="3840" max="3841" width="3" style="1" customWidth="1"/>
    <col min="3842" max="3842" width="27.1328125" style="1" customWidth="1"/>
    <col min="3843" max="3847" width="10.1328125" style="1" customWidth="1"/>
    <col min="3848" max="4095" width="9.1328125" style="1"/>
    <col min="4096" max="4097" width="3" style="1" customWidth="1"/>
    <col min="4098" max="4098" width="27.1328125" style="1" customWidth="1"/>
    <col min="4099" max="4103" width="10.1328125" style="1" customWidth="1"/>
    <col min="4104" max="4351" width="9.1328125" style="1"/>
    <col min="4352" max="4353" width="3" style="1" customWidth="1"/>
    <col min="4354" max="4354" width="27.1328125" style="1" customWidth="1"/>
    <col min="4355" max="4359" width="10.1328125" style="1" customWidth="1"/>
    <col min="4360" max="4607" width="9.1328125" style="1"/>
    <col min="4608" max="4609" width="3" style="1" customWidth="1"/>
    <col min="4610" max="4610" width="27.1328125" style="1" customWidth="1"/>
    <col min="4611" max="4615" width="10.1328125" style="1" customWidth="1"/>
    <col min="4616" max="4863" width="9.1328125" style="1"/>
    <col min="4864" max="4865" width="3" style="1" customWidth="1"/>
    <col min="4866" max="4866" width="27.1328125" style="1" customWidth="1"/>
    <col min="4867" max="4871" width="10.1328125" style="1" customWidth="1"/>
    <col min="4872" max="5119" width="9.1328125" style="1"/>
    <col min="5120" max="5121" width="3" style="1" customWidth="1"/>
    <col min="5122" max="5122" width="27.1328125" style="1" customWidth="1"/>
    <col min="5123" max="5127" width="10.1328125" style="1" customWidth="1"/>
    <col min="5128" max="5375" width="9.1328125" style="1"/>
    <col min="5376" max="5377" width="3" style="1" customWidth="1"/>
    <col min="5378" max="5378" width="27.1328125" style="1" customWidth="1"/>
    <col min="5379" max="5383" width="10.1328125" style="1" customWidth="1"/>
    <col min="5384" max="5631" width="9.1328125" style="1"/>
    <col min="5632" max="5633" width="3" style="1" customWidth="1"/>
    <col min="5634" max="5634" width="27.1328125" style="1" customWidth="1"/>
    <col min="5635" max="5639" width="10.1328125" style="1" customWidth="1"/>
    <col min="5640" max="5887" width="9.1328125" style="1"/>
    <col min="5888" max="5889" width="3" style="1" customWidth="1"/>
    <col min="5890" max="5890" width="27.1328125" style="1" customWidth="1"/>
    <col min="5891" max="5895" width="10.1328125" style="1" customWidth="1"/>
    <col min="5896" max="6143" width="9.1328125" style="1"/>
    <col min="6144" max="6145" width="3" style="1" customWidth="1"/>
    <col min="6146" max="6146" width="27.1328125" style="1" customWidth="1"/>
    <col min="6147" max="6151" width="10.1328125" style="1" customWidth="1"/>
    <col min="6152" max="6399" width="9.1328125" style="1"/>
    <col min="6400" max="6401" width="3" style="1" customWidth="1"/>
    <col min="6402" max="6402" width="27.1328125" style="1" customWidth="1"/>
    <col min="6403" max="6407" width="10.1328125" style="1" customWidth="1"/>
    <col min="6408" max="6655" width="9.1328125" style="1"/>
    <col min="6656" max="6657" width="3" style="1" customWidth="1"/>
    <col min="6658" max="6658" width="27.1328125" style="1" customWidth="1"/>
    <col min="6659" max="6663" width="10.1328125" style="1" customWidth="1"/>
    <col min="6664" max="6911" width="9.1328125" style="1"/>
    <col min="6912" max="6913" width="3" style="1" customWidth="1"/>
    <col min="6914" max="6914" width="27.1328125" style="1" customWidth="1"/>
    <col min="6915" max="6919" width="10.1328125" style="1" customWidth="1"/>
    <col min="6920" max="7167" width="9.1328125" style="1"/>
    <col min="7168" max="7169" width="3" style="1" customWidth="1"/>
    <col min="7170" max="7170" width="27.1328125" style="1" customWidth="1"/>
    <col min="7171" max="7175" width="10.1328125" style="1" customWidth="1"/>
    <col min="7176" max="7423" width="9.1328125" style="1"/>
    <col min="7424" max="7425" width="3" style="1" customWidth="1"/>
    <col min="7426" max="7426" width="27.1328125" style="1" customWidth="1"/>
    <col min="7427" max="7431" width="10.1328125" style="1" customWidth="1"/>
    <col min="7432" max="7679" width="9.1328125" style="1"/>
    <col min="7680" max="7681" width="3" style="1" customWidth="1"/>
    <col min="7682" max="7682" width="27.1328125" style="1" customWidth="1"/>
    <col min="7683" max="7687" width="10.1328125" style="1" customWidth="1"/>
    <col min="7688" max="7935" width="9.1328125" style="1"/>
    <col min="7936" max="7937" width="3" style="1" customWidth="1"/>
    <col min="7938" max="7938" width="27.1328125" style="1" customWidth="1"/>
    <col min="7939" max="7943" width="10.1328125" style="1" customWidth="1"/>
    <col min="7944" max="8191" width="9.1328125" style="1"/>
    <col min="8192" max="8193" width="3" style="1" customWidth="1"/>
    <col min="8194" max="8194" width="27.1328125" style="1" customWidth="1"/>
    <col min="8195" max="8199" width="10.1328125" style="1" customWidth="1"/>
    <col min="8200" max="8447" width="9.1328125" style="1"/>
    <col min="8448" max="8449" width="3" style="1" customWidth="1"/>
    <col min="8450" max="8450" width="27.1328125" style="1" customWidth="1"/>
    <col min="8451" max="8455" width="10.1328125" style="1" customWidth="1"/>
    <col min="8456" max="8703" width="9.1328125" style="1"/>
    <col min="8704" max="8705" width="3" style="1" customWidth="1"/>
    <col min="8706" max="8706" width="27.1328125" style="1" customWidth="1"/>
    <col min="8707" max="8711" width="10.1328125" style="1" customWidth="1"/>
    <col min="8712" max="8959" width="9.1328125" style="1"/>
    <col min="8960" max="8961" width="3" style="1" customWidth="1"/>
    <col min="8962" max="8962" width="27.1328125" style="1" customWidth="1"/>
    <col min="8963" max="8967" width="10.1328125" style="1" customWidth="1"/>
    <col min="8968" max="9215" width="9.1328125" style="1"/>
    <col min="9216" max="9217" width="3" style="1" customWidth="1"/>
    <col min="9218" max="9218" width="27.1328125" style="1" customWidth="1"/>
    <col min="9219" max="9223" width="10.1328125" style="1" customWidth="1"/>
    <col min="9224" max="9471" width="9.1328125" style="1"/>
    <col min="9472" max="9473" width="3" style="1" customWidth="1"/>
    <col min="9474" max="9474" width="27.1328125" style="1" customWidth="1"/>
    <col min="9475" max="9479" width="10.1328125" style="1" customWidth="1"/>
    <col min="9480" max="9727" width="9.1328125" style="1"/>
    <col min="9728" max="9729" width="3" style="1" customWidth="1"/>
    <col min="9730" max="9730" width="27.1328125" style="1" customWidth="1"/>
    <col min="9731" max="9735" width="10.1328125" style="1" customWidth="1"/>
    <col min="9736" max="9983" width="9.1328125" style="1"/>
    <col min="9984" max="9985" width="3" style="1" customWidth="1"/>
    <col min="9986" max="9986" width="27.1328125" style="1" customWidth="1"/>
    <col min="9987" max="9991" width="10.1328125" style="1" customWidth="1"/>
    <col min="9992" max="10239" width="9.1328125" style="1"/>
    <col min="10240" max="10241" width="3" style="1" customWidth="1"/>
    <col min="10242" max="10242" width="27.1328125" style="1" customWidth="1"/>
    <col min="10243" max="10247" width="10.1328125" style="1" customWidth="1"/>
    <col min="10248" max="10495" width="9.1328125" style="1"/>
    <col min="10496" max="10497" width="3" style="1" customWidth="1"/>
    <col min="10498" max="10498" width="27.1328125" style="1" customWidth="1"/>
    <col min="10499" max="10503" width="10.1328125" style="1" customWidth="1"/>
    <col min="10504" max="10751" width="9.1328125" style="1"/>
    <col min="10752" max="10753" width="3" style="1" customWidth="1"/>
    <col min="10754" max="10754" width="27.1328125" style="1" customWidth="1"/>
    <col min="10755" max="10759" width="10.1328125" style="1" customWidth="1"/>
    <col min="10760" max="11007" width="9.1328125" style="1"/>
    <col min="11008" max="11009" width="3" style="1" customWidth="1"/>
    <col min="11010" max="11010" width="27.1328125" style="1" customWidth="1"/>
    <col min="11011" max="11015" width="10.1328125" style="1" customWidth="1"/>
    <col min="11016" max="11263" width="9.1328125" style="1"/>
    <col min="11264" max="11265" width="3" style="1" customWidth="1"/>
    <col min="11266" max="11266" width="27.1328125" style="1" customWidth="1"/>
    <col min="11267" max="11271" width="10.1328125" style="1" customWidth="1"/>
    <col min="11272" max="11519" width="9.1328125" style="1"/>
    <col min="11520" max="11521" width="3" style="1" customWidth="1"/>
    <col min="11522" max="11522" width="27.1328125" style="1" customWidth="1"/>
    <col min="11523" max="11527" width="10.1328125" style="1" customWidth="1"/>
    <col min="11528" max="11775" width="9.1328125" style="1"/>
    <col min="11776" max="11777" width="3" style="1" customWidth="1"/>
    <col min="11778" max="11778" width="27.1328125" style="1" customWidth="1"/>
    <col min="11779" max="11783" width="10.1328125" style="1" customWidth="1"/>
    <col min="11784" max="12031" width="9.1328125" style="1"/>
    <col min="12032" max="12033" width="3" style="1" customWidth="1"/>
    <col min="12034" max="12034" width="27.1328125" style="1" customWidth="1"/>
    <col min="12035" max="12039" width="10.1328125" style="1" customWidth="1"/>
    <col min="12040" max="12287" width="9.1328125" style="1"/>
    <col min="12288" max="12289" width="3" style="1" customWidth="1"/>
    <col min="12290" max="12290" width="27.1328125" style="1" customWidth="1"/>
    <col min="12291" max="12295" width="10.1328125" style="1" customWidth="1"/>
    <col min="12296" max="12543" width="9.1328125" style="1"/>
    <col min="12544" max="12545" width="3" style="1" customWidth="1"/>
    <col min="12546" max="12546" width="27.1328125" style="1" customWidth="1"/>
    <col min="12547" max="12551" width="10.1328125" style="1" customWidth="1"/>
    <col min="12552" max="12799" width="9.1328125" style="1"/>
    <col min="12800" max="12801" width="3" style="1" customWidth="1"/>
    <col min="12802" max="12802" width="27.1328125" style="1" customWidth="1"/>
    <col min="12803" max="12807" width="10.1328125" style="1" customWidth="1"/>
    <col min="12808" max="13055" width="9.1328125" style="1"/>
    <col min="13056" max="13057" width="3" style="1" customWidth="1"/>
    <col min="13058" max="13058" width="27.1328125" style="1" customWidth="1"/>
    <col min="13059" max="13063" width="10.1328125" style="1" customWidth="1"/>
    <col min="13064" max="13311" width="9.1328125" style="1"/>
    <col min="13312" max="13313" width="3" style="1" customWidth="1"/>
    <col min="13314" max="13314" width="27.1328125" style="1" customWidth="1"/>
    <col min="13315" max="13319" width="10.1328125" style="1" customWidth="1"/>
    <col min="13320" max="13567" width="9.1328125" style="1"/>
    <col min="13568" max="13569" width="3" style="1" customWidth="1"/>
    <col min="13570" max="13570" width="27.1328125" style="1" customWidth="1"/>
    <col min="13571" max="13575" width="10.1328125" style="1" customWidth="1"/>
    <col min="13576" max="13823" width="9.1328125" style="1"/>
    <col min="13824" max="13825" width="3" style="1" customWidth="1"/>
    <col min="13826" max="13826" width="27.1328125" style="1" customWidth="1"/>
    <col min="13827" max="13831" width="10.1328125" style="1" customWidth="1"/>
    <col min="13832" max="14079" width="9.1328125" style="1"/>
    <col min="14080" max="14081" width="3" style="1" customWidth="1"/>
    <col min="14082" max="14082" width="27.1328125" style="1" customWidth="1"/>
    <col min="14083" max="14087" width="10.1328125" style="1" customWidth="1"/>
    <col min="14088" max="14335" width="9.1328125" style="1"/>
    <col min="14336" max="14337" width="3" style="1" customWidth="1"/>
    <col min="14338" max="14338" width="27.1328125" style="1" customWidth="1"/>
    <col min="14339" max="14343" width="10.1328125" style="1" customWidth="1"/>
    <col min="14344" max="14591" width="9.1328125" style="1"/>
    <col min="14592" max="14593" width="3" style="1" customWidth="1"/>
    <col min="14594" max="14594" width="27.1328125" style="1" customWidth="1"/>
    <col min="14595" max="14599" width="10.1328125" style="1" customWidth="1"/>
    <col min="14600" max="14847" width="9.1328125" style="1"/>
    <col min="14848" max="14849" width="3" style="1" customWidth="1"/>
    <col min="14850" max="14850" width="27.1328125" style="1" customWidth="1"/>
    <col min="14851" max="14855" width="10.1328125" style="1" customWidth="1"/>
    <col min="14856" max="15103" width="9.1328125" style="1"/>
    <col min="15104" max="15105" width="3" style="1" customWidth="1"/>
    <col min="15106" max="15106" width="27.1328125" style="1" customWidth="1"/>
    <col min="15107" max="15111" width="10.1328125" style="1" customWidth="1"/>
    <col min="15112" max="15359" width="9.1328125" style="1"/>
    <col min="15360" max="15361" width="3" style="1" customWidth="1"/>
    <col min="15362" max="15362" width="27.1328125" style="1" customWidth="1"/>
    <col min="15363" max="15367" width="10.1328125" style="1" customWidth="1"/>
    <col min="15368" max="15615" width="9.1328125" style="1"/>
    <col min="15616" max="15617" width="3" style="1" customWidth="1"/>
    <col min="15618" max="15618" width="27.1328125" style="1" customWidth="1"/>
    <col min="15619" max="15623" width="10.1328125" style="1" customWidth="1"/>
    <col min="15624" max="15871" width="9.1328125" style="1"/>
    <col min="15872" max="15873" width="3" style="1" customWidth="1"/>
    <col min="15874" max="15874" width="27.1328125" style="1" customWidth="1"/>
    <col min="15875" max="15879" width="10.1328125" style="1" customWidth="1"/>
    <col min="15880" max="16127" width="9.1328125" style="1"/>
    <col min="16128" max="16129" width="3" style="1" customWidth="1"/>
    <col min="16130" max="16130" width="27.1328125" style="1" customWidth="1"/>
    <col min="16131" max="16135" width="10.1328125" style="1" customWidth="1"/>
    <col min="16136" max="16383" width="9.1328125" style="1"/>
    <col min="16384" max="16384" width="9.1328125" style="1" customWidth="1"/>
  </cols>
  <sheetData>
    <row r="1" spans="1:16" x14ac:dyDescent="0.45">
      <c r="A1" s="25"/>
      <c r="B1" s="26" t="s">
        <v>90</v>
      </c>
      <c r="C1" s="25"/>
      <c r="D1" s="27"/>
      <c r="E1" s="27"/>
      <c r="F1" s="27"/>
      <c r="G1" s="27"/>
      <c r="K1" s="1"/>
      <c r="L1" s="1"/>
      <c r="M1" s="1"/>
      <c r="N1" s="1"/>
      <c r="O1" s="1"/>
      <c r="P1" s="1"/>
    </row>
    <row r="2" spans="1:16" x14ac:dyDescent="0.45">
      <c r="A2" s="28" t="s">
        <v>0</v>
      </c>
      <c r="B2" s="28"/>
      <c r="C2" s="28"/>
      <c r="D2" s="29" t="s">
        <v>1</v>
      </c>
      <c r="E2" s="29" t="s">
        <v>2</v>
      </c>
      <c r="F2" s="29" t="s">
        <v>3</v>
      </c>
      <c r="G2" s="29" t="s">
        <v>4</v>
      </c>
      <c r="H2" s="50" t="s">
        <v>70</v>
      </c>
      <c r="K2" s="1"/>
      <c r="L2" s="1"/>
      <c r="M2" s="1"/>
      <c r="N2" s="1"/>
      <c r="O2" s="1"/>
      <c r="P2" s="1"/>
    </row>
    <row r="3" spans="1:16" x14ac:dyDescent="0.45">
      <c r="A3" s="25"/>
      <c r="B3" s="25" t="s">
        <v>77</v>
      </c>
      <c r="C3" s="25"/>
      <c r="D3" s="69">
        <f>Assumptions!C12</f>
        <v>1000</v>
      </c>
      <c r="E3" s="31" t="s">
        <v>79</v>
      </c>
      <c r="F3" s="68">
        <f>Assumptions!C19/100</f>
        <v>0.52</v>
      </c>
      <c r="G3" s="33">
        <f>D3*F3</f>
        <v>520</v>
      </c>
      <c r="H3" s="51"/>
      <c r="K3" s="1"/>
      <c r="L3" s="1"/>
      <c r="M3" s="1"/>
      <c r="N3" s="1"/>
      <c r="O3" s="1"/>
      <c r="P3" s="1"/>
    </row>
    <row r="4" spans="1:16" x14ac:dyDescent="0.45">
      <c r="A4" s="25"/>
      <c r="B4" s="34" t="s">
        <v>78</v>
      </c>
      <c r="C4" s="35"/>
      <c r="D4" s="70">
        <f>Assumptions!C13</f>
        <v>0.75</v>
      </c>
      <c r="E4" s="31" t="s">
        <v>80</v>
      </c>
      <c r="F4" s="68">
        <f>Assumptions!C20</f>
        <v>180</v>
      </c>
      <c r="G4" s="33">
        <f>D4*F4</f>
        <v>135</v>
      </c>
      <c r="J4" s="4"/>
      <c r="K4" s="1"/>
      <c r="L4" s="1"/>
      <c r="M4" s="1"/>
      <c r="N4" s="1"/>
      <c r="O4" s="1"/>
      <c r="P4" s="1"/>
    </row>
    <row r="5" spans="1:16" x14ac:dyDescent="0.45">
      <c r="A5" s="25"/>
      <c r="B5" s="34" t="s">
        <v>7</v>
      </c>
      <c r="C5" s="35"/>
      <c r="D5" s="34">
        <v>1</v>
      </c>
      <c r="E5" s="31" t="s">
        <v>8</v>
      </c>
      <c r="F5" s="32">
        <v>0</v>
      </c>
      <c r="G5" s="33">
        <f>D5*F5</f>
        <v>0</v>
      </c>
      <c r="J5" s="4"/>
      <c r="K5" s="1"/>
      <c r="L5" s="1"/>
      <c r="M5" s="1"/>
      <c r="N5" s="1"/>
      <c r="O5" s="1"/>
      <c r="P5" s="1"/>
    </row>
    <row r="6" spans="1:16" ht="14.65" thickBot="1" x14ac:dyDescent="0.5">
      <c r="A6" s="25"/>
      <c r="B6" s="34" t="s">
        <v>7</v>
      </c>
      <c r="C6" s="35"/>
      <c r="D6" s="34">
        <v>1</v>
      </c>
      <c r="E6" s="31" t="s">
        <v>8</v>
      </c>
      <c r="F6" s="32">
        <v>0</v>
      </c>
      <c r="G6" s="36">
        <f>D6*F6</f>
        <v>0</v>
      </c>
      <c r="K6" s="1"/>
      <c r="L6" s="1"/>
      <c r="M6" s="1"/>
      <c r="N6" s="1"/>
      <c r="O6" s="1"/>
      <c r="P6" s="1"/>
    </row>
    <row r="7" spans="1:16" ht="14.65" thickTop="1" x14ac:dyDescent="0.45">
      <c r="A7" s="37" t="s">
        <v>9</v>
      </c>
      <c r="B7" s="37"/>
      <c r="C7" s="37"/>
      <c r="D7" s="37"/>
      <c r="E7" s="37"/>
      <c r="F7" s="37"/>
      <c r="G7" s="38">
        <f>SUM(G3:G6)</f>
        <v>655</v>
      </c>
      <c r="K7" s="1"/>
      <c r="L7" s="1"/>
      <c r="M7" s="1"/>
      <c r="N7" s="1"/>
      <c r="O7" s="1"/>
      <c r="P7" s="1"/>
    </row>
    <row r="8" spans="1:16" x14ac:dyDescent="0.45">
      <c r="A8" s="28" t="s">
        <v>10</v>
      </c>
      <c r="B8" s="28"/>
      <c r="C8" s="28"/>
      <c r="D8" s="28" t="s">
        <v>1</v>
      </c>
      <c r="E8" s="28" t="s">
        <v>2</v>
      </c>
      <c r="F8" s="28" t="s">
        <v>3</v>
      </c>
      <c r="G8" s="28" t="s">
        <v>4</v>
      </c>
      <c r="K8" s="1"/>
      <c r="L8" s="1"/>
      <c r="M8" s="1"/>
      <c r="N8" s="1"/>
      <c r="O8" s="1"/>
      <c r="P8" s="1"/>
    </row>
    <row r="9" spans="1:16" x14ac:dyDescent="0.45">
      <c r="A9" s="25" t="s">
        <v>11</v>
      </c>
      <c r="B9" s="25"/>
      <c r="C9" s="25"/>
      <c r="D9" s="25"/>
      <c r="E9" s="25"/>
      <c r="F9" s="25"/>
      <c r="G9" s="25"/>
      <c r="K9" s="1"/>
      <c r="L9" s="1"/>
      <c r="M9" s="1"/>
      <c r="N9" s="1"/>
      <c r="O9" s="1"/>
      <c r="P9" s="1"/>
    </row>
    <row r="10" spans="1:16" x14ac:dyDescent="0.45">
      <c r="A10" s="25"/>
      <c r="B10" s="25" t="s">
        <v>12</v>
      </c>
      <c r="C10" s="25"/>
      <c r="D10" s="25">
        <v>0.25</v>
      </c>
      <c r="E10" s="27" t="s">
        <v>115</v>
      </c>
      <c r="F10" s="39">
        <v>360</v>
      </c>
      <c r="G10" s="33">
        <f>D10*F10</f>
        <v>90</v>
      </c>
      <c r="K10" s="1"/>
      <c r="L10" s="1"/>
      <c r="M10" s="1"/>
      <c r="N10" s="1"/>
      <c r="O10" s="1"/>
      <c r="P10" s="1"/>
    </row>
    <row r="11" spans="1:16" x14ac:dyDescent="0.45">
      <c r="A11" s="25"/>
      <c r="B11" s="25" t="s">
        <v>89</v>
      </c>
      <c r="C11" s="25"/>
      <c r="D11" s="25">
        <v>1</v>
      </c>
      <c r="E11" s="27" t="s">
        <v>79</v>
      </c>
      <c r="F11" s="39">
        <f>28.5+18+12+2.64</f>
        <v>61.14</v>
      </c>
      <c r="G11" s="33">
        <f t="shared" ref="G11:G20" si="0">D11*F11</f>
        <v>61.14</v>
      </c>
      <c r="K11" s="1"/>
      <c r="L11" s="1"/>
      <c r="M11" s="1"/>
      <c r="N11" s="1"/>
      <c r="O11" s="1"/>
      <c r="P11" s="1"/>
    </row>
    <row r="12" spans="1:16" x14ac:dyDescent="0.45">
      <c r="A12" s="25"/>
      <c r="B12" s="25" t="s">
        <v>14</v>
      </c>
      <c r="C12" s="25"/>
      <c r="D12" s="25">
        <v>1</v>
      </c>
      <c r="E12" s="27" t="s">
        <v>8</v>
      </c>
      <c r="F12" s="39">
        <f>+Cotton!F12</f>
        <v>50.2</v>
      </c>
      <c r="G12" s="33">
        <f t="shared" si="0"/>
        <v>50.2</v>
      </c>
      <c r="K12" s="1"/>
      <c r="L12" s="1"/>
      <c r="M12" s="1"/>
      <c r="N12" s="1"/>
      <c r="O12" s="1"/>
      <c r="P12" s="1"/>
    </row>
    <row r="13" spans="1:16" x14ac:dyDescent="0.45">
      <c r="A13" s="25"/>
      <c r="B13" s="25" t="s">
        <v>15</v>
      </c>
      <c r="C13" s="25"/>
      <c r="D13" s="25">
        <v>1</v>
      </c>
      <c r="E13" s="27" t="s">
        <v>8</v>
      </c>
      <c r="F13" s="39">
        <f>54+11.52</f>
        <v>65.52</v>
      </c>
      <c r="G13" s="33">
        <f t="shared" si="0"/>
        <v>65.52</v>
      </c>
      <c r="K13" s="1"/>
      <c r="L13" s="1"/>
      <c r="M13" s="1"/>
      <c r="N13" s="1"/>
      <c r="O13" s="1"/>
      <c r="P13" s="1"/>
    </row>
    <row r="14" spans="1:16" x14ac:dyDescent="0.45">
      <c r="A14" s="25"/>
      <c r="B14" s="25" t="s">
        <v>16</v>
      </c>
      <c r="C14" s="25"/>
      <c r="D14" s="25">
        <v>1</v>
      </c>
      <c r="E14" s="27" t="s">
        <v>8</v>
      </c>
      <c r="F14" s="39">
        <v>17</v>
      </c>
      <c r="G14" s="33">
        <f t="shared" si="0"/>
        <v>17</v>
      </c>
      <c r="K14" s="1"/>
      <c r="L14" s="1"/>
      <c r="M14" s="1"/>
      <c r="N14" s="1"/>
      <c r="O14" s="1"/>
      <c r="P14" s="1"/>
    </row>
    <row r="15" spans="1:16" x14ac:dyDescent="0.45">
      <c r="A15" s="25"/>
      <c r="B15" s="25" t="s">
        <v>17</v>
      </c>
      <c r="C15" s="25"/>
      <c r="D15" s="40">
        <v>6.88</v>
      </c>
      <c r="E15" s="27" t="s">
        <v>18</v>
      </c>
      <c r="F15" s="41">
        <v>1.85</v>
      </c>
      <c r="G15" s="33">
        <f>D15*F15</f>
        <v>12.728</v>
      </c>
      <c r="K15" s="1"/>
      <c r="L15" s="1"/>
      <c r="M15" s="1"/>
      <c r="N15" s="1"/>
      <c r="O15" s="1"/>
      <c r="P15" s="1"/>
    </row>
    <row r="16" spans="1:16" x14ac:dyDescent="0.45">
      <c r="A16" s="25"/>
      <c r="B16" s="25" t="s">
        <v>19</v>
      </c>
      <c r="C16" s="25"/>
      <c r="D16" s="42">
        <v>0.1</v>
      </c>
      <c r="E16" s="27" t="s">
        <v>20</v>
      </c>
      <c r="F16" s="39">
        <f>+G15</f>
        <v>12.728</v>
      </c>
      <c r="G16" s="33">
        <f t="shared" si="0"/>
        <v>1.2728000000000002</v>
      </c>
      <c r="K16" s="1"/>
      <c r="L16" s="1"/>
      <c r="M16" s="1"/>
      <c r="N16" s="1"/>
      <c r="O16" s="1"/>
      <c r="P16" s="1"/>
    </row>
    <row r="17" spans="1:16" x14ac:dyDescent="0.45">
      <c r="A17" s="25"/>
      <c r="B17" s="25" t="s">
        <v>50</v>
      </c>
      <c r="C17" s="25"/>
      <c r="D17" s="25">
        <v>1</v>
      </c>
      <c r="E17" s="27" t="s">
        <v>8</v>
      </c>
      <c r="F17" s="39">
        <f>3.6+13.34+12.1+14.32+16.68</f>
        <v>60.04</v>
      </c>
      <c r="G17" s="33">
        <f t="shared" si="0"/>
        <v>60.04</v>
      </c>
      <c r="K17" s="1"/>
      <c r="L17" s="1"/>
      <c r="M17" s="1"/>
      <c r="N17" s="1"/>
      <c r="O17" s="1"/>
      <c r="P17" s="1"/>
    </row>
    <row r="18" spans="1:16" x14ac:dyDescent="0.45">
      <c r="A18" s="25"/>
      <c r="B18" s="25" t="s">
        <v>22</v>
      </c>
      <c r="C18" s="25"/>
      <c r="D18" s="40">
        <f>1.01+1.21</f>
        <v>2.2199999999999998</v>
      </c>
      <c r="E18" s="27" t="s">
        <v>23</v>
      </c>
      <c r="F18" s="41">
        <v>12</v>
      </c>
      <c r="G18" s="33">
        <f t="shared" si="0"/>
        <v>26.639999999999997</v>
      </c>
      <c r="K18" s="1"/>
      <c r="L18" s="1"/>
      <c r="M18" s="1"/>
      <c r="N18" s="1"/>
      <c r="O18" s="1"/>
      <c r="P18" s="1"/>
    </row>
    <row r="19" spans="1:16" x14ac:dyDescent="0.45">
      <c r="A19" s="25"/>
      <c r="B19" s="25" t="s">
        <v>82</v>
      </c>
      <c r="C19" s="25"/>
      <c r="D19" s="25">
        <v>1</v>
      </c>
      <c r="E19" s="27" t="s">
        <v>8</v>
      </c>
      <c r="F19" s="39">
        <v>5.5</v>
      </c>
      <c r="G19" s="33">
        <f t="shared" si="0"/>
        <v>5.5</v>
      </c>
      <c r="K19" s="1"/>
      <c r="L19" s="1"/>
      <c r="M19" s="1"/>
      <c r="N19" s="1"/>
      <c r="O19" s="1"/>
      <c r="P19" s="1"/>
    </row>
    <row r="20" spans="1:16" x14ac:dyDescent="0.45">
      <c r="A20" s="25"/>
      <c r="B20" s="25" t="s">
        <v>25</v>
      </c>
      <c r="C20" s="25"/>
      <c r="D20" s="25">
        <v>1</v>
      </c>
      <c r="E20" s="27" t="s">
        <v>8</v>
      </c>
      <c r="F20" s="39">
        <v>5.5</v>
      </c>
      <c r="G20" s="33">
        <f t="shared" si="0"/>
        <v>5.5</v>
      </c>
      <c r="K20" s="1"/>
      <c r="L20" s="1"/>
      <c r="M20" s="1"/>
      <c r="N20" s="1"/>
      <c r="O20" s="1"/>
      <c r="P20" s="1"/>
    </row>
    <row r="21" spans="1:16" ht="14.65" thickBot="1" x14ac:dyDescent="0.5">
      <c r="A21" s="25"/>
      <c r="B21" s="25" t="s">
        <v>26</v>
      </c>
      <c r="C21" s="25"/>
      <c r="D21" s="25"/>
      <c r="E21" s="25"/>
      <c r="F21" s="78">
        <f>+Assumptions!C3</f>
        <v>6.5000000000000002E-2</v>
      </c>
      <c r="G21" s="43">
        <f>+SUM(G10:G20)*F21/12*6</f>
        <v>12.855076</v>
      </c>
      <c r="I21" s="5"/>
      <c r="K21" s="1"/>
      <c r="L21" s="1"/>
      <c r="M21" s="1"/>
      <c r="N21" s="1"/>
      <c r="O21" s="1"/>
      <c r="P21" s="1"/>
    </row>
    <row r="22" spans="1:16" x14ac:dyDescent="0.45">
      <c r="A22" s="25"/>
      <c r="B22" s="25"/>
      <c r="C22" s="25"/>
      <c r="D22" s="25"/>
      <c r="E22" s="25"/>
      <c r="F22" s="25"/>
      <c r="G22" s="33">
        <f>SUM(G10:G21)</f>
        <v>408.39587599999999</v>
      </c>
      <c r="K22" s="1"/>
      <c r="L22" s="1"/>
      <c r="M22" s="1"/>
      <c r="N22" s="1"/>
      <c r="O22" s="1"/>
      <c r="P22" s="1"/>
    </row>
    <row r="23" spans="1:16" x14ac:dyDescent="0.45">
      <c r="A23" s="25" t="s">
        <v>27</v>
      </c>
      <c r="B23" s="25"/>
      <c r="C23" s="25"/>
      <c r="D23" s="25"/>
      <c r="E23" s="25"/>
      <c r="F23" s="25"/>
      <c r="G23" s="25"/>
      <c r="K23" s="1"/>
      <c r="L23" s="1"/>
      <c r="M23" s="1"/>
      <c r="N23" s="1"/>
      <c r="O23" s="1"/>
      <c r="P23" s="1"/>
    </row>
    <row r="24" spans="1:16" x14ac:dyDescent="0.45">
      <c r="A24" s="25"/>
      <c r="B24" s="25" t="s">
        <v>28</v>
      </c>
      <c r="C24" s="25"/>
      <c r="D24" s="25">
        <v>1</v>
      </c>
      <c r="E24" s="25" t="s">
        <v>8</v>
      </c>
      <c r="F24" s="39">
        <f>D3*0.13+G4</f>
        <v>265</v>
      </c>
      <c r="G24" s="33">
        <f>+D24*F24</f>
        <v>265</v>
      </c>
      <c r="K24" s="1"/>
      <c r="L24" s="1"/>
      <c r="M24" s="1"/>
      <c r="N24" s="1"/>
      <c r="O24" s="1"/>
      <c r="P24" s="1"/>
    </row>
    <row r="25" spans="1:16" x14ac:dyDescent="0.45">
      <c r="A25" s="25"/>
      <c r="B25" s="25" t="s">
        <v>29</v>
      </c>
      <c r="C25" s="25"/>
      <c r="D25" s="25"/>
      <c r="E25" s="25"/>
      <c r="F25" s="44"/>
      <c r="G25" s="25"/>
      <c r="K25" s="1"/>
      <c r="L25" s="1"/>
      <c r="M25" s="1"/>
      <c r="N25" s="1"/>
      <c r="O25" s="1"/>
      <c r="P25" s="1"/>
    </row>
    <row r="26" spans="1:16" ht="14.65" thickBot="1" x14ac:dyDescent="0.5">
      <c r="A26" s="25"/>
      <c r="B26" s="25"/>
      <c r="C26" s="25" t="s">
        <v>30</v>
      </c>
      <c r="D26" s="25">
        <v>1</v>
      </c>
      <c r="E26" s="25" t="s">
        <v>8</v>
      </c>
      <c r="F26" s="39">
        <v>0</v>
      </c>
      <c r="G26" s="43">
        <f>+D26*F26</f>
        <v>0</v>
      </c>
      <c r="K26" s="1"/>
      <c r="L26" s="1"/>
      <c r="M26" s="1"/>
      <c r="N26" s="1"/>
      <c r="O26" s="1"/>
      <c r="P26" s="1"/>
    </row>
    <row r="27" spans="1:16" ht="14.65" thickBot="1" x14ac:dyDescent="0.5">
      <c r="A27" s="25"/>
      <c r="B27" s="25"/>
      <c r="C27" s="25"/>
      <c r="D27" s="25" t="s">
        <v>31</v>
      </c>
      <c r="E27" s="25"/>
      <c r="F27" s="44"/>
      <c r="G27" s="45">
        <f>+G24+G26</f>
        <v>265</v>
      </c>
      <c r="K27" s="1"/>
      <c r="L27" s="1"/>
      <c r="M27" s="1"/>
      <c r="N27" s="1"/>
      <c r="O27" s="1"/>
      <c r="P27" s="1"/>
    </row>
    <row r="28" spans="1:16" ht="14.65" thickTop="1" x14ac:dyDescent="0.45">
      <c r="A28" s="25"/>
      <c r="B28" s="25"/>
      <c r="C28" s="25"/>
      <c r="D28" s="25"/>
      <c r="E28" s="25"/>
      <c r="F28" s="44"/>
      <c r="G28" s="25"/>
      <c r="K28" s="1"/>
      <c r="L28" s="1"/>
      <c r="M28" s="1"/>
      <c r="N28" s="1"/>
      <c r="O28" s="1"/>
      <c r="P28" s="1"/>
    </row>
    <row r="29" spans="1:16" ht="14.65" thickBot="1" x14ac:dyDescent="0.5">
      <c r="A29" s="25" t="s">
        <v>32</v>
      </c>
      <c r="B29" s="25"/>
      <c r="C29" s="25"/>
      <c r="D29" s="25">
        <v>1</v>
      </c>
      <c r="E29" s="25" t="s">
        <v>8</v>
      </c>
      <c r="F29" s="39">
        <v>0</v>
      </c>
      <c r="G29" s="46">
        <f>+D29*F29</f>
        <v>0</v>
      </c>
      <c r="K29" s="1"/>
      <c r="L29" s="1"/>
      <c r="M29" s="1"/>
      <c r="N29" s="1"/>
      <c r="O29" s="1"/>
      <c r="P29" s="1"/>
    </row>
    <row r="30" spans="1:16" ht="14.65" thickTop="1" x14ac:dyDescent="0.45">
      <c r="A30" s="25"/>
      <c r="B30" s="25"/>
      <c r="C30" s="25"/>
      <c r="D30" s="25"/>
      <c r="E30" s="25"/>
      <c r="F30" s="25"/>
      <c r="G30" s="25"/>
      <c r="K30" s="1"/>
      <c r="L30" s="1"/>
      <c r="M30" s="1"/>
      <c r="N30" s="1"/>
      <c r="O30" s="1"/>
      <c r="P30" s="1"/>
    </row>
    <row r="31" spans="1:16" ht="14.65" thickBot="1" x14ac:dyDescent="0.5">
      <c r="A31" s="25" t="s">
        <v>33</v>
      </c>
      <c r="B31" s="25"/>
      <c r="C31" s="25"/>
      <c r="D31" s="25"/>
      <c r="E31" s="25"/>
      <c r="F31" s="25"/>
      <c r="G31" s="36">
        <f>+G22+G27+G29</f>
        <v>673.39587600000004</v>
      </c>
      <c r="K31" s="1"/>
      <c r="L31" s="1"/>
      <c r="M31" s="1"/>
      <c r="N31" s="1"/>
      <c r="O31" s="1"/>
      <c r="P31" s="1"/>
    </row>
    <row r="32" spans="1:16" ht="14.65" thickTop="1" x14ac:dyDescent="0.45">
      <c r="A32" s="25"/>
      <c r="B32" s="25"/>
      <c r="C32" s="25"/>
      <c r="D32" s="25"/>
      <c r="E32" s="25"/>
      <c r="F32" s="25"/>
      <c r="G32" s="25"/>
      <c r="K32" s="1"/>
      <c r="L32" s="1"/>
      <c r="M32" s="1"/>
      <c r="N32" s="1"/>
      <c r="O32" s="1"/>
      <c r="P32" s="1"/>
    </row>
    <row r="33" spans="1:16" x14ac:dyDescent="0.45">
      <c r="A33" s="25" t="s">
        <v>34</v>
      </c>
      <c r="B33" s="25"/>
      <c r="C33" s="25"/>
      <c r="D33" s="25"/>
      <c r="E33" s="25"/>
      <c r="F33" s="25"/>
      <c r="G33" s="33">
        <f>+G7-G31</f>
        <v>-18.395876000000044</v>
      </c>
      <c r="K33" s="1"/>
      <c r="L33" s="1"/>
      <c r="M33" s="1"/>
      <c r="N33" s="1"/>
      <c r="O33" s="1"/>
      <c r="P33" s="1"/>
    </row>
    <row r="34" spans="1:16" x14ac:dyDescent="0.45">
      <c r="A34" s="25"/>
      <c r="B34" s="25" t="s">
        <v>35</v>
      </c>
      <c r="C34" s="25"/>
      <c r="D34" s="25"/>
      <c r="E34" s="25" t="s">
        <v>6</v>
      </c>
      <c r="F34" s="47">
        <f>IF(D3=0,"n/a",(G31-G4-G5-G6)/D3)</f>
        <v>0.53839587600000005</v>
      </c>
      <c r="G34" s="25"/>
      <c r="K34" s="1"/>
      <c r="L34" s="1"/>
      <c r="M34" s="1"/>
      <c r="N34" s="1"/>
      <c r="O34" s="1"/>
      <c r="P34" s="1"/>
    </row>
    <row r="35" spans="1:16" x14ac:dyDescent="0.45">
      <c r="A35" s="25"/>
      <c r="B35" s="25"/>
      <c r="C35" s="25"/>
      <c r="D35" s="25"/>
      <c r="E35" s="25"/>
      <c r="F35" s="25"/>
      <c r="G35" s="25"/>
      <c r="K35" s="1"/>
      <c r="L35" s="1"/>
      <c r="M35" s="1"/>
      <c r="N35" s="1"/>
      <c r="O35" s="1"/>
      <c r="P35" s="1"/>
    </row>
    <row r="36" spans="1:16" x14ac:dyDescent="0.45">
      <c r="A36" s="28" t="s">
        <v>36</v>
      </c>
      <c r="B36" s="28"/>
      <c r="C36" s="28"/>
      <c r="D36" s="28" t="s">
        <v>1</v>
      </c>
      <c r="E36" s="28" t="s">
        <v>2</v>
      </c>
      <c r="F36" s="28" t="s">
        <v>3</v>
      </c>
      <c r="G36" s="28" t="s">
        <v>4</v>
      </c>
      <c r="K36" s="1"/>
      <c r="L36" s="1"/>
      <c r="M36" s="1"/>
      <c r="N36" s="1"/>
      <c r="O36" s="1"/>
      <c r="P36" s="1"/>
    </row>
    <row r="37" spans="1:16" x14ac:dyDescent="0.45">
      <c r="A37" s="25"/>
      <c r="B37" s="25" t="s">
        <v>37</v>
      </c>
      <c r="C37" s="25"/>
      <c r="D37" s="25">
        <v>1</v>
      </c>
      <c r="E37" s="25" t="s">
        <v>8</v>
      </c>
      <c r="F37" s="39">
        <f>5+15+12.5+18.39</f>
        <v>50.89</v>
      </c>
      <c r="G37" s="33">
        <f>D37*F37</f>
        <v>50.89</v>
      </c>
      <c r="K37" s="1"/>
      <c r="L37" s="1"/>
      <c r="M37" s="1"/>
      <c r="N37" s="1"/>
      <c r="O37" s="1"/>
      <c r="P37" s="1"/>
    </row>
    <row r="38" spans="1:16" x14ac:dyDescent="0.45">
      <c r="A38" s="25"/>
      <c r="B38" s="25" t="s">
        <v>38</v>
      </c>
      <c r="C38" s="25"/>
      <c r="D38" s="25">
        <v>1</v>
      </c>
      <c r="E38" s="25" t="s">
        <v>8</v>
      </c>
      <c r="F38" s="39">
        <f>+'Wheat Graze Out'!F38</f>
        <v>0</v>
      </c>
      <c r="G38" s="33">
        <f t="shared" ref="G38:G45" si="1">D38*F38</f>
        <v>0</v>
      </c>
      <c r="K38" s="1"/>
      <c r="L38" s="1"/>
      <c r="M38" s="1"/>
      <c r="N38" s="1"/>
      <c r="O38" s="1"/>
      <c r="P38" s="1"/>
    </row>
    <row r="39" spans="1:16" x14ac:dyDescent="0.45">
      <c r="A39" s="25"/>
      <c r="B39" s="25" t="s">
        <v>39</v>
      </c>
      <c r="C39" s="25"/>
      <c r="D39" s="25">
        <v>1</v>
      </c>
      <c r="E39" s="25" t="s">
        <v>8</v>
      </c>
      <c r="F39" s="39">
        <f>+'Wheat Graze Out'!F39</f>
        <v>0</v>
      </c>
      <c r="G39" s="33">
        <f t="shared" si="1"/>
        <v>0</v>
      </c>
      <c r="K39" s="1"/>
      <c r="L39" s="1"/>
      <c r="M39" s="1"/>
      <c r="N39" s="1"/>
      <c r="O39" s="1"/>
      <c r="P39" s="1"/>
    </row>
    <row r="40" spans="1:16" x14ac:dyDescent="0.45">
      <c r="A40" s="25"/>
      <c r="B40" s="25" t="s">
        <v>40</v>
      </c>
      <c r="C40" s="25"/>
      <c r="D40" s="25">
        <v>1</v>
      </c>
      <c r="E40" s="25" t="s">
        <v>8</v>
      </c>
      <c r="F40" s="39">
        <v>90</v>
      </c>
      <c r="G40" s="33">
        <f t="shared" si="1"/>
        <v>90</v>
      </c>
      <c r="K40" s="1"/>
      <c r="L40" s="1"/>
      <c r="M40" s="1"/>
      <c r="N40" s="1"/>
      <c r="O40" s="1"/>
      <c r="P40" s="1"/>
    </row>
    <row r="41" spans="1:16" x14ac:dyDescent="0.45">
      <c r="A41" s="25"/>
      <c r="B41" s="25" t="s">
        <v>41</v>
      </c>
      <c r="C41" s="25"/>
      <c r="D41" s="25">
        <v>1</v>
      </c>
      <c r="E41" s="25" t="s">
        <v>8</v>
      </c>
      <c r="F41" s="39">
        <f>+'Wheat Graze Out'!F41</f>
        <v>0</v>
      </c>
      <c r="G41" s="33">
        <f t="shared" si="1"/>
        <v>0</v>
      </c>
      <c r="K41" s="1"/>
      <c r="L41" s="1"/>
      <c r="M41" s="1"/>
      <c r="N41" s="1"/>
      <c r="O41" s="1"/>
      <c r="P41" s="1"/>
    </row>
    <row r="42" spans="1:16" x14ac:dyDescent="0.45">
      <c r="A42" s="25"/>
      <c r="B42" s="25" t="s">
        <v>142</v>
      </c>
      <c r="C42" s="25"/>
      <c r="D42" s="25">
        <v>1</v>
      </c>
      <c r="E42" s="25" t="s">
        <v>8</v>
      </c>
      <c r="F42" s="39">
        <f>1.93+24.06+5.36+4.33</f>
        <v>35.68</v>
      </c>
      <c r="G42" s="33">
        <f t="shared" si="1"/>
        <v>35.68</v>
      </c>
      <c r="K42" s="1"/>
      <c r="L42" s="1"/>
      <c r="M42" s="1"/>
      <c r="N42" s="1"/>
      <c r="O42" s="1"/>
      <c r="P42" s="1"/>
    </row>
    <row r="43" spans="1:16" x14ac:dyDescent="0.45">
      <c r="A43" s="25"/>
      <c r="B43" s="34" t="s">
        <v>43</v>
      </c>
      <c r="C43" s="34"/>
      <c r="D43" s="34">
        <v>1</v>
      </c>
      <c r="E43" s="34" t="s">
        <v>8</v>
      </c>
      <c r="F43" s="39">
        <f>+'Wheat Graze Out'!F43</f>
        <v>0</v>
      </c>
      <c r="G43" s="33">
        <f t="shared" si="1"/>
        <v>0</v>
      </c>
      <c r="K43" s="1"/>
      <c r="L43" s="1"/>
      <c r="M43" s="1"/>
      <c r="N43" s="1"/>
      <c r="O43" s="1"/>
      <c r="P43" s="1"/>
    </row>
    <row r="44" spans="1:16" x14ac:dyDescent="0.45">
      <c r="A44" s="25"/>
      <c r="B44" s="34" t="s">
        <v>43</v>
      </c>
      <c r="C44" s="34"/>
      <c r="D44" s="34">
        <v>1</v>
      </c>
      <c r="E44" s="34" t="s">
        <v>8</v>
      </c>
      <c r="F44" s="39">
        <f>+'Wheat Graze Out'!F44</f>
        <v>0</v>
      </c>
      <c r="G44" s="33">
        <f t="shared" si="1"/>
        <v>0</v>
      </c>
      <c r="K44" s="1"/>
      <c r="L44" s="1"/>
      <c r="M44" s="1"/>
      <c r="N44" s="1"/>
      <c r="O44" s="1"/>
      <c r="P44" s="1"/>
    </row>
    <row r="45" spans="1:16" ht="14.65" thickBot="1" x14ac:dyDescent="0.5">
      <c r="A45" s="25"/>
      <c r="B45" s="34" t="s">
        <v>43</v>
      </c>
      <c r="C45" s="34"/>
      <c r="D45" s="34">
        <v>1</v>
      </c>
      <c r="E45" s="34" t="s">
        <v>8</v>
      </c>
      <c r="F45" s="39">
        <f>+'Wheat Graze Out'!F45</f>
        <v>0</v>
      </c>
      <c r="G45" s="36">
        <f t="shared" si="1"/>
        <v>0</v>
      </c>
      <c r="K45" s="1"/>
      <c r="L45" s="1"/>
      <c r="M45" s="1"/>
      <c r="N45" s="1"/>
      <c r="O45" s="1"/>
      <c r="P45" s="1"/>
    </row>
    <row r="46" spans="1:16" ht="14.65" thickTop="1" x14ac:dyDescent="0.45">
      <c r="A46" s="25"/>
      <c r="B46" s="25"/>
      <c r="C46" s="25"/>
      <c r="D46" s="25"/>
      <c r="E46" s="25"/>
      <c r="F46" s="25"/>
      <c r="G46" s="25"/>
      <c r="K46" s="1"/>
      <c r="L46" s="1"/>
      <c r="M46" s="1"/>
      <c r="N46" s="1"/>
      <c r="O46" s="1"/>
      <c r="P46" s="1"/>
    </row>
    <row r="47" spans="1:16" ht="14.65" thickBot="1" x14ac:dyDescent="0.5">
      <c r="A47" s="25" t="s">
        <v>44</v>
      </c>
      <c r="B47" s="25"/>
      <c r="C47" s="25"/>
      <c r="D47" s="25"/>
      <c r="E47" s="25"/>
      <c r="F47" s="25"/>
      <c r="G47" s="36">
        <f>SUM(G37:G45)</f>
        <v>176.57</v>
      </c>
      <c r="K47" s="1"/>
      <c r="L47" s="1"/>
      <c r="M47" s="1"/>
      <c r="N47" s="1"/>
      <c r="O47" s="1"/>
      <c r="P47" s="1"/>
    </row>
    <row r="48" spans="1:16" ht="14.65" thickTop="1" x14ac:dyDescent="0.45">
      <c r="A48" s="25"/>
      <c r="B48" s="25"/>
      <c r="C48" s="25"/>
      <c r="D48" s="25"/>
      <c r="E48" s="25"/>
      <c r="F48" s="25"/>
      <c r="G48" s="25"/>
      <c r="K48" s="1"/>
      <c r="L48" s="1"/>
      <c r="M48" s="1"/>
      <c r="N48" s="1"/>
      <c r="O48" s="1"/>
      <c r="P48" s="1"/>
    </row>
    <row r="49" spans="1:16" ht="14.65" thickBot="1" x14ac:dyDescent="0.5">
      <c r="A49" s="25" t="s">
        <v>45</v>
      </c>
      <c r="B49" s="25"/>
      <c r="C49" s="25"/>
      <c r="D49" s="25"/>
      <c r="E49" s="25"/>
      <c r="F49" s="25"/>
      <c r="G49" s="36">
        <f>+G31+G47</f>
        <v>849.96587599999998</v>
      </c>
      <c r="K49" s="1"/>
      <c r="L49" s="1"/>
      <c r="M49" s="1"/>
      <c r="N49" s="1"/>
      <c r="O49" s="1"/>
      <c r="P49" s="1"/>
    </row>
    <row r="50" spans="1:16" ht="14.65" thickTop="1" x14ac:dyDescent="0.45">
      <c r="A50" s="25"/>
      <c r="B50" s="25"/>
      <c r="C50" s="25"/>
      <c r="D50" s="25"/>
      <c r="E50" s="25"/>
      <c r="F50" s="25"/>
      <c r="G50" s="25"/>
      <c r="K50" s="1"/>
      <c r="L50" s="1"/>
      <c r="M50" s="1"/>
      <c r="N50" s="1"/>
      <c r="O50" s="1"/>
      <c r="P50" s="1"/>
    </row>
    <row r="51" spans="1:16" x14ac:dyDescent="0.45">
      <c r="A51" s="25" t="s">
        <v>46</v>
      </c>
      <c r="B51" s="25"/>
      <c r="C51" s="25"/>
      <c r="D51" s="25"/>
      <c r="E51" s="25"/>
      <c r="F51" s="25"/>
      <c r="G51" s="33">
        <f>+G7-G49</f>
        <v>-194.96587599999998</v>
      </c>
      <c r="K51" s="1"/>
      <c r="L51" s="1"/>
      <c r="M51" s="1"/>
      <c r="N51" s="1"/>
      <c r="O51" s="1"/>
      <c r="P51" s="1"/>
    </row>
    <row r="52" spans="1:16" ht="14.65" thickBot="1" x14ac:dyDescent="0.5">
      <c r="A52" s="48" t="s">
        <v>47</v>
      </c>
      <c r="B52" s="48"/>
      <c r="C52" s="48"/>
      <c r="D52" s="48"/>
      <c r="E52" s="48"/>
      <c r="F52" s="49">
        <f>IF(D3=0,"n/a",(G49-G4-G5-G6)/D3)</f>
        <v>0.71496587599999994</v>
      </c>
      <c r="G52" s="48"/>
      <c r="K52" s="1"/>
      <c r="L52" s="1"/>
      <c r="M52" s="1"/>
      <c r="N52" s="1"/>
      <c r="O52" s="1"/>
      <c r="P52" s="1"/>
    </row>
    <row r="53" spans="1:16" ht="14.65" thickTop="1" x14ac:dyDescent="0.45">
      <c r="K53" s="1"/>
      <c r="L53" s="1"/>
      <c r="M53" s="1"/>
      <c r="N53" s="1"/>
      <c r="O53" s="1"/>
      <c r="P53" s="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B7B95-CA19-43D2-86DA-AB9C31985649}">
  <dimension ref="A1:I53"/>
  <sheetViews>
    <sheetView topLeftCell="A16" workbookViewId="0">
      <selection activeCell="I12" sqref="I12"/>
    </sheetView>
  </sheetViews>
  <sheetFormatPr defaultRowHeight="14.25" x14ac:dyDescent="0.45"/>
  <cols>
    <col min="1" max="2" width="3" style="1" customWidth="1"/>
    <col min="3" max="3" width="27.1328125" style="1" customWidth="1"/>
    <col min="4" max="7" width="10.1328125" style="1" customWidth="1"/>
    <col min="8" max="255" width="9.06640625" style="1"/>
    <col min="256" max="257" width="3" style="1" customWidth="1"/>
    <col min="258" max="258" width="27.1328125" style="1" customWidth="1"/>
    <col min="259" max="263" width="10.1328125" style="1" customWidth="1"/>
    <col min="264" max="511" width="9.06640625" style="1"/>
    <col min="512" max="513" width="3" style="1" customWidth="1"/>
    <col min="514" max="514" width="27.1328125" style="1" customWidth="1"/>
    <col min="515" max="519" width="10.1328125" style="1" customWidth="1"/>
    <col min="520" max="767" width="9.06640625" style="1"/>
    <col min="768" max="769" width="3" style="1" customWidth="1"/>
    <col min="770" max="770" width="27.1328125" style="1" customWidth="1"/>
    <col min="771" max="775" width="10.1328125" style="1" customWidth="1"/>
    <col min="776" max="1023" width="9.06640625" style="1"/>
    <col min="1024" max="1025" width="3" style="1" customWidth="1"/>
    <col min="1026" max="1026" width="27.1328125" style="1" customWidth="1"/>
    <col min="1027" max="1031" width="10.1328125" style="1" customWidth="1"/>
    <col min="1032" max="1279" width="9.06640625" style="1"/>
    <col min="1280" max="1281" width="3" style="1" customWidth="1"/>
    <col min="1282" max="1282" width="27.1328125" style="1" customWidth="1"/>
    <col min="1283" max="1287" width="10.1328125" style="1" customWidth="1"/>
    <col min="1288" max="1535" width="9.06640625" style="1"/>
    <col min="1536" max="1537" width="3" style="1" customWidth="1"/>
    <col min="1538" max="1538" width="27.1328125" style="1" customWidth="1"/>
    <col min="1539" max="1543" width="10.1328125" style="1" customWidth="1"/>
    <col min="1544" max="1791" width="9.06640625" style="1"/>
    <col min="1792" max="1793" width="3" style="1" customWidth="1"/>
    <col min="1794" max="1794" width="27.1328125" style="1" customWidth="1"/>
    <col min="1795" max="1799" width="10.1328125" style="1" customWidth="1"/>
    <col min="1800" max="2047" width="9.06640625" style="1"/>
    <col min="2048" max="2049" width="3" style="1" customWidth="1"/>
    <col min="2050" max="2050" width="27.1328125" style="1" customWidth="1"/>
    <col min="2051" max="2055" width="10.1328125" style="1" customWidth="1"/>
    <col min="2056" max="2303" width="9.06640625" style="1"/>
    <col min="2304" max="2305" width="3" style="1" customWidth="1"/>
    <col min="2306" max="2306" width="27.1328125" style="1" customWidth="1"/>
    <col min="2307" max="2311" width="10.1328125" style="1" customWidth="1"/>
    <col min="2312" max="2559" width="9.06640625" style="1"/>
    <col min="2560" max="2561" width="3" style="1" customWidth="1"/>
    <col min="2562" max="2562" width="27.1328125" style="1" customWidth="1"/>
    <col min="2563" max="2567" width="10.1328125" style="1" customWidth="1"/>
    <col min="2568" max="2815" width="9.06640625" style="1"/>
    <col min="2816" max="2817" width="3" style="1" customWidth="1"/>
    <col min="2818" max="2818" width="27.1328125" style="1" customWidth="1"/>
    <col min="2819" max="2823" width="10.1328125" style="1" customWidth="1"/>
    <col min="2824" max="3071" width="9.06640625" style="1"/>
    <col min="3072" max="3073" width="3" style="1" customWidth="1"/>
    <col min="3074" max="3074" width="27.1328125" style="1" customWidth="1"/>
    <col min="3075" max="3079" width="10.1328125" style="1" customWidth="1"/>
    <col min="3080" max="3327" width="9.06640625" style="1"/>
    <col min="3328" max="3329" width="3" style="1" customWidth="1"/>
    <col min="3330" max="3330" width="27.1328125" style="1" customWidth="1"/>
    <col min="3331" max="3335" width="10.1328125" style="1" customWidth="1"/>
    <col min="3336" max="3583" width="9.06640625" style="1"/>
    <col min="3584" max="3585" width="3" style="1" customWidth="1"/>
    <col min="3586" max="3586" width="27.1328125" style="1" customWidth="1"/>
    <col min="3587" max="3591" width="10.1328125" style="1" customWidth="1"/>
    <col min="3592" max="3839" width="9.06640625" style="1"/>
    <col min="3840" max="3841" width="3" style="1" customWidth="1"/>
    <col min="3842" max="3842" width="27.1328125" style="1" customWidth="1"/>
    <col min="3843" max="3847" width="10.1328125" style="1" customWidth="1"/>
    <col min="3848" max="4095" width="9.06640625" style="1"/>
    <col min="4096" max="4097" width="3" style="1" customWidth="1"/>
    <col min="4098" max="4098" width="27.1328125" style="1" customWidth="1"/>
    <col min="4099" max="4103" width="10.1328125" style="1" customWidth="1"/>
    <col min="4104" max="4351" width="9.06640625" style="1"/>
    <col min="4352" max="4353" width="3" style="1" customWidth="1"/>
    <col min="4354" max="4354" width="27.1328125" style="1" customWidth="1"/>
    <col min="4355" max="4359" width="10.1328125" style="1" customWidth="1"/>
    <col min="4360" max="4607" width="9.06640625" style="1"/>
    <col min="4608" max="4609" width="3" style="1" customWidth="1"/>
    <col min="4610" max="4610" width="27.1328125" style="1" customWidth="1"/>
    <col min="4611" max="4615" width="10.1328125" style="1" customWidth="1"/>
    <col min="4616" max="4863" width="9.06640625" style="1"/>
    <col min="4864" max="4865" width="3" style="1" customWidth="1"/>
    <col min="4866" max="4866" width="27.1328125" style="1" customWidth="1"/>
    <col min="4867" max="4871" width="10.1328125" style="1" customWidth="1"/>
    <col min="4872" max="5119" width="9.06640625" style="1"/>
    <col min="5120" max="5121" width="3" style="1" customWidth="1"/>
    <col min="5122" max="5122" width="27.1328125" style="1" customWidth="1"/>
    <col min="5123" max="5127" width="10.1328125" style="1" customWidth="1"/>
    <col min="5128" max="5375" width="9.06640625" style="1"/>
    <col min="5376" max="5377" width="3" style="1" customWidth="1"/>
    <col min="5378" max="5378" width="27.1328125" style="1" customWidth="1"/>
    <col min="5379" max="5383" width="10.1328125" style="1" customWidth="1"/>
    <col min="5384" max="5631" width="9.06640625" style="1"/>
    <col min="5632" max="5633" width="3" style="1" customWidth="1"/>
    <col min="5634" max="5634" width="27.1328125" style="1" customWidth="1"/>
    <col min="5635" max="5639" width="10.1328125" style="1" customWidth="1"/>
    <col min="5640" max="5887" width="9.06640625" style="1"/>
    <col min="5888" max="5889" width="3" style="1" customWidth="1"/>
    <col min="5890" max="5890" width="27.1328125" style="1" customWidth="1"/>
    <col min="5891" max="5895" width="10.1328125" style="1" customWidth="1"/>
    <col min="5896" max="6143" width="9.06640625" style="1"/>
    <col min="6144" max="6145" width="3" style="1" customWidth="1"/>
    <col min="6146" max="6146" width="27.1328125" style="1" customWidth="1"/>
    <col min="6147" max="6151" width="10.1328125" style="1" customWidth="1"/>
    <col min="6152" max="6399" width="9.06640625" style="1"/>
    <col min="6400" max="6401" width="3" style="1" customWidth="1"/>
    <col min="6402" max="6402" width="27.1328125" style="1" customWidth="1"/>
    <col min="6403" max="6407" width="10.1328125" style="1" customWidth="1"/>
    <col min="6408" max="6655" width="9.06640625" style="1"/>
    <col min="6656" max="6657" width="3" style="1" customWidth="1"/>
    <col min="6658" max="6658" width="27.1328125" style="1" customWidth="1"/>
    <col min="6659" max="6663" width="10.1328125" style="1" customWidth="1"/>
    <col min="6664" max="6911" width="9.06640625" style="1"/>
    <col min="6912" max="6913" width="3" style="1" customWidth="1"/>
    <col min="6914" max="6914" width="27.1328125" style="1" customWidth="1"/>
    <col min="6915" max="6919" width="10.1328125" style="1" customWidth="1"/>
    <col min="6920" max="7167" width="9.06640625" style="1"/>
    <col min="7168" max="7169" width="3" style="1" customWidth="1"/>
    <col min="7170" max="7170" width="27.1328125" style="1" customWidth="1"/>
    <col min="7171" max="7175" width="10.1328125" style="1" customWidth="1"/>
    <col min="7176" max="7423" width="9.06640625" style="1"/>
    <col min="7424" max="7425" width="3" style="1" customWidth="1"/>
    <col min="7426" max="7426" width="27.1328125" style="1" customWidth="1"/>
    <col min="7427" max="7431" width="10.1328125" style="1" customWidth="1"/>
    <col min="7432" max="7679" width="9.06640625" style="1"/>
    <col min="7680" max="7681" width="3" style="1" customWidth="1"/>
    <col min="7682" max="7682" width="27.1328125" style="1" customWidth="1"/>
    <col min="7683" max="7687" width="10.1328125" style="1" customWidth="1"/>
    <col min="7688" max="7935" width="9.06640625" style="1"/>
    <col min="7936" max="7937" width="3" style="1" customWidth="1"/>
    <col min="7938" max="7938" width="27.1328125" style="1" customWidth="1"/>
    <col min="7939" max="7943" width="10.1328125" style="1" customWidth="1"/>
    <col min="7944" max="8191" width="9.06640625" style="1"/>
    <col min="8192" max="8193" width="3" style="1" customWidth="1"/>
    <col min="8194" max="8194" width="27.1328125" style="1" customWidth="1"/>
    <col min="8195" max="8199" width="10.1328125" style="1" customWidth="1"/>
    <col min="8200" max="8447" width="9.06640625" style="1"/>
    <col min="8448" max="8449" width="3" style="1" customWidth="1"/>
    <col min="8450" max="8450" width="27.1328125" style="1" customWidth="1"/>
    <col min="8451" max="8455" width="10.1328125" style="1" customWidth="1"/>
    <col min="8456" max="8703" width="9.06640625" style="1"/>
    <col min="8704" max="8705" width="3" style="1" customWidth="1"/>
    <col min="8706" max="8706" width="27.1328125" style="1" customWidth="1"/>
    <col min="8707" max="8711" width="10.1328125" style="1" customWidth="1"/>
    <col min="8712" max="8959" width="9.06640625" style="1"/>
    <col min="8960" max="8961" width="3" style="1" customWidth="1"/>
    <col min="8962" max="8962" width="27.1328125" style="1" customWidth="1"/>
    <col min="8963" max="8967" width="10.1328125" style="1" customWidth="1"/>
    <col min="8968" max="9215" width="9.06640625" style="1"/>
    <col min="9216" max="9217" width="3" style="1" customWidth="1"/>
    <col min="9218" max="9218" width="27.1328125" style="1" customWidth="1"/>
    <col min="9219" max="9223" width="10.1328125" style="1" customWidth="1"/>
    <col min="9224" max="9471" width="9.06640625" style="1"/>
    <col min="9472" max="9473" width="3" style="1" customWidth="1"/>
    <col min="9474" max="9474" width="27.1328125" style="1" customWidth="1"/>
    <col min="9475" max="9479" width="10.1328125" style="1" customWidth="1"/>
    <col min="9480" max="9727" width="9.06640625" style="1"/>
    <col min="9728" max="9729" width="3" style="1" customWidth="1"/>
    <col min="9730" max="9730" width="27.1328125" style="1" customWidth="1"/>
    <col min="9731" max="9735" width="10.1328125" style="1" customWidth="1"/>
    <col min="9736" max="9983" width="9.06640625" style="1"/>
    <col min="9984" max="9985" width="3" style="1" customWidth="1"/>
    <col min="9986" max="9986" width="27.1328125" style="1" customWidth="1"/>
    <col min="9987" max="9991" width="10.1328125" style="1" customWidth="1"/>
    <col min="9992" max="10239" width="9.06640625" style="1"/>
    <col min="10240" max="10241" width="3" style="1" customWidth="1"/>
    <col min="10242" max="10242" width="27.1328125" style="1" customWidth="1"/>
    <col min="10243" max="10247" width="10.1328125" style="1" customWidth="1"/>
    <col min="10248" max="10495" width="9.06640625" style="1"/>
    <col min="10496" max="10497" width="3" style="1" customWidth="1"/>
    <col min="10498" max="10498" width="27.1328125" style="1" customWidth="1"/>
    <col min="10499" max="10503" width="10.1328125" style="1" customWidth="1"/>
    <col min="10504" max="10751" width="9.06640625" style="1"/>
    <col min="10752" max="10753" width="3" style="1" customWidth="1"/>
    <col min="10754" max="10754" width="27.1328125" style="1" customWidth="1"/>
    <col min="10755" max="10759" width="10.1328125" style="1" customWidth="1"/>
    <col min="10760" max="11007" width="9.06640625" style="1"/>
    <col min="11008" max="11009" width="3" style="1" customWidth="1"/>
    <col min="11010" max="11010" width="27.1328125" style="1" customWidth="1"/>
    <col min="11011" max="11015" width="10.1328125" style="1" customWidth="1"/>
    <col min="11016" max="11263" width="9.06640625" style="1"/>
    <col min="11264" max="11265" width="3" style="1" customWidth="1"/>
    <col min="11266" max="11266" width="27.1328125" style="1" customWidth="1"/>
    <col min="11267" max="11271" width="10.1328125" style="1" customWidth="1"/>
    <col min="11272" max="11519" width="9.06640625" style="1"/>
    <col min="11520" max="11521" width="3" style="1" customWidth="1"/>
    <col min="11522" max="11522" width="27.1328125" style="1" customWidth="1"/>
    <col min="11523" max="11527" width="10.1328125" style="1" customWidth="1"/>
    <col min="11528" max="11775" width="9.06640625" style="1"/>
    <col min="11776" max="11777" width="3" style="1" customWidth="1"/>
    <col min="11778" max="11778" width="27.1328125" style="1" customWidth="1"/>
    <col min="11779" max="11783" width="10.1328125" style="1" customWidth="1"/>
    <col min="11784" max="12031" width="9.06640625" style="1"/>
    <col min="12032" max="12033" width="3" style="1" customWidth="1"/>
    <col min="12034" max="12034" width="27.1328125" style="1" customWidth="1"/>
    <col min="12035" max="12039" width="10.1328125" style="1" customWidth="1"/>
    <col min="12040" max="12287" width="9.06640625" style="1"/>
    <col min="12288" max="12289" width="3" style="1" customWidth="1"/>
    <col min="12290" max="12290" width="27.1328125" style="1" customWidth="1"/>
    <col min="12291" max="12295" width="10.1328125" style="1" customWidth="1"/>
    <col min="12296" max="12543" width="9.06640625" style="1"/>
    <col min="12544" max="12545" width="3" style="1" customWidth="1"/>
    <col min="12546" max="12546" width="27.1328125" style="1" customWidth="1"/>
    <col min="12547" max="12551" width="10.1328125" style="1" customWidth="1"/>
    <col min="12552" max="12799" width="9.06640625" style="1"/>
    <col min="12800" max="12801" width="3" style="1" customWidth="1"/>
    <col min="12802" max="12802" width="27.1328125" style="1" customWidth="1"/>
    <col min="12803" max="12807" width="10.1328125" style="1" customWidth="1"/>
    <col min="12808" max="13055" width="9.06640625" style="1"/>
    <col min="13056" max="13057" width="3" style="1" customWidth="1"/>
    <col min="13058" max="13058" width="27.1328125" style="1" customWidth="1"/>
    <col min="13059" max="13063" width="10.1328125" style="1" customWidth="1"/>
    <col min="13064" max="13311" width="9.06640625" style="1"/>
    <col min="13312" max="13313" width="3" style="1" customWidth="1"/>
    <col min="13314" max="13314" width="27.1328125" style="1" customWidth="1"/>
    <col min="13315" max="13319" width="10.1328125" style="1" customWidth="1"/>
    <col min="13320" max="13567" width="9.06640625" style="1"/>
    <col min="13568" max="13569" width="3" style="1" customWidth="1"/>
    <col min="13570" max="13570" width="27.1328125" style="1" customWidth="1"/>
    <col min="13571" max="13575" width="10.1328125" style="1" customWidth="1"/>
    <col min="13576" max="13823" width="9.06640625" style="1"/>
    <col min="13824" max="13825" width="3" style="1" customWidth="1"/>
    <col min="13826" max="13826" width="27.1328125" style="1" customWidth="1"/>
    <col min="13827" max="13831" width="10.1328125" style="1" customWidth="1"/>
    <col min="13832" max="14079" width="9.06640625" style="1"/>
    <col min="14080" max="14081" width="3" style="1" customWidth="1"/>
    <col min="14082" max="14082" width="27.1328125" style="1" customWidth="1"/>
    <col min="14083" max="14087" width="10.1328125" style="1" customWidth="1"/>
    <col min="14088" max="14335" width="9.06640625" style="1"/>
    <col min="14336" max="14337" width="3" style="1" customWidth="1"/>
    <col min="14338" max="14338" width="27.1328125" style="1" customWidth="1"/>
    <col min="14339" max="14343" width="10.1328125" style="1" customWidth="1"/>
    <col min="14344" max="14591" width="9.06640625" style="1"/>
    <col min="14592" max="14593" width="3" style="1" customWidth="1"/>
    <col min="14594" max="14594" width="27.1328125" style="1" customWidth="1"/>
    <col min="14595" max="14599" width="10.1328125" style="1" customWidth="1"/>
    <col min="14600" max="14847" width="9.06640625" style="1"/>
    <col min="14848" max="14849" width="3" style="1" customWidth="1"/>
    <col min="14850" max="14850" width="27.1328125" style="1" customWidth="1"/>
    <col min="14851" max="14855" width="10.1328125" style="1" customWidth="1"/>
    <col min="14856" max="15103" width="9.06640625" style="1"/>
    <col min="15104" max="15105" width="3" style="1" customWidth="1"/>
    <col min="15106" max="15106" width="27.1328125" style="1" customWidth="1"/>
    <col min="15107" max="15111" width="10.1328125" style="1" customWidth="1"/>
    <col min="15112" max="15359" width="9.06640625" style="1"/>
    <col min="15360" max="15361" width="3" style="1" customWidth="1"/>
    <col min="15362" max="15362" width="27.1328125" style="1" customWidth="1"/>
    <col min="15363" max="15367" width="10.1328125" style="1" customWidth="1"/>
    <col min="15368" max="15615" width="9.06640625" style="1"/>
    <col min="15616" max="15617" width="3" style="1" customWidth="1"/>
    <col min="15618" max="15618" width="27.1328125" style="1" customWidth="1"/>
    <col min="15619" max="15623" width="10.1328125" style="1" customWidth="1"/>
    <col min="15624" max="15871" width="9.06640625" style="1"/>
    <col min="15872" max="15873" width="3" style="1" customWidth="1"/>
    <col min="15874" max="15874" width="27.1328125" style="1" customWidth="1"/>
    <col min="15875" max="15879" width="10.1328125" style="1" customWidth="1"/>
    <col min="15880" max="16127" width="9.06640625" style="1"/>
    <col min="16128" max="16129" width="3" style="1" customWidth="1"/>
    <col min="16130" max="16130" width="27.1328125" style="1" customWidth="1"/>
    <col min="16131" max="16135" width="10.1328125" style="1" customWidth="1"/>
    <col min="16136" max="16384" width="9.06640625" style="1"/>
  </cols>
  <sheetData>
    <row r="1" spans="1:7" x14ac:dyDescent="0.45">
      <c r="A1" s="25"/>
      <c r="B1" s="26" t="s">
        <v>149</v>
      </c>
      <c r="C1" s="25"/>
      <c r="D1" s="27"/>
      <c r="E1" s="27"/>
      <c r="F1" s="27"/>
      <c r="G1" s="27">
        <f>+[1]Assumptions!C8</f>
        <v>0</v>
      </c>
    </row>
    <row r="2" spans="1:7" x14ac:dyDescent="0.45">
      <c r="A2" s="28" t="s">
        <v>0</v>
      </c>
      <c r="B2" s="28"/>
      <c r="C2" s="28"/>
      <c r="D2" s="29" t="s">
        <v>1</v>
      </c>
      <c r="E2" s="29" t="s">
        <v>2</v>
      </c>
      <c r="F2" s="29" t="s">
        <v>3</v>
      </c>
      <c r="G2" s="29" t="s">
        <v>4</v>
      </c>
    </row>
    <row r="3" spans="1:7" x14ac:dyDescent="0.45">
      <c r="A3" s="25"/>
      <c r="B3" s="25" t="s">
        <v>5</v>
      </c>
      <c r="C3" s="25"/>
      <c r="D3" s="30">
        <f>+Assumptions!C15</f>
        <v>25</v>
      </c>
      <c r="E3" s="31" t="s">
        <v>54</v>
      </c>
      <c r="F3" s="58">
        <f>+Assumptions!C22</f>
        <v>6</v>
      </c>
      <c r="G3" s="33">
        <f>D3*F3</f>
        <v>150</v>
      </c>
    </row>
    <row r="4" spans="1:7" x14ac:dyDescent="0.45">
      <c r="A4" s="25"/>
      <c r="B4" s="34" t="s">
        <v>7</v>
      </c>
      <c r="C4" s="35"/>
      <c r="D4" s="34">
        <v>0</v>
      </c>
      <c r="E4" s="31" t="s">
        <v>8</v>
      </c>
      <c r="F4" s="32">
        <v>0</v>
      </c>
      <c r="G4" s="33">
        <f>D4*F4</f>
        <v>0</v>
      </c>
    </row>
    <row r="5" spans="1:7" x14ac:dyDescent="0.45">
      <c r="A5" s="25"/>
      <c r="B5" s="34" t="s">
        <v>7</v>
      </c>
      <c r="C5" s="35"/>
      <c r="D5" s="34">
        <v>1</v>
      </c>
      <c r="E5" s="31" t="s">
        <v>8</v>
      </c>
      <c r="F5" s="32">
        <v>0</v>
      </c>
      <c r="G5" s="33">
        <f>D5*F5</f>
        <v>0</v>
      </c>
    </row>
    <row r="6" spans="1:7" ht="14.65" thickBot="1" x14ac:dyDescent="0.5">
      <c r="A6" s="25"/>
      <c r="B6" s="34" t="s">
        <v>7</v>
      </c>
      <c r="C6" s="35"/>
      <c r="D6" s="34">
        <v>1</v>
      </c>
      <c r="E6" s="31" t="s">
        <v>8</v>
      </c>
      <c r="F6" s="32">
        <v>0</v>
      </c>
      <c r="G6" s="36">
        <f>D6*F6</f>
        <v>0</v>
      </c>
    </row>
    <row r="7" spans="1:7" ht="14.65" thickTop="1" x14ac:dyDescent="0.45">
      <c r="A7" s="25" t="s">
        <v>9</v>
      </c>
      <c r="B7" s="25"/>
      <c r="C7" s="25"/>
      <c r="D7" s="25"/>
      <c r="E7" s="25"/>
      <c r="F7" s="25"/>
      <c r="G7" s="33">
        <f>SUM(G3:G6)</f>
        <v>150</v>
      </c>
    </row>
    <row r="8" spans="1:7" x14ac:dyDescent="0.45">
      <c r="A8" s="28" t="s">
        <v>10</v>
      </c>
      <c r="B8" s="28"/>
      <c r="C8" s="28"/>
      <c r="D8" s="28" t="s">
        <v>1</v>
      </c>
      <c r="E8" s="28" t="s">
        <v>2</v>
      </c>
      <c r="F8" s="28" t="s">
        <v>3</v>
      </c>
      <c r="G8" s="28" t="s">
        <v>4</v>
      </c>
    </row>
    <row r="9" spans="1:7" x14ac:dyDescent="0.45">
      <c r="A9" s="25" t="s">
        <v>11</v>
      </c>
      <c r="B9" s="25"/>
      <c r="C9" s="25"/>
      <c r="D9" s="25"/>
      <c r="E9" s="25"/>
      <c r="F9" s="25"/>
      <c r="G9" s="25"/>
    </row>
    <row r="10" spans="1:7" x14ac:dyDescent="0.45">
      <c r="A10" s="25"/>
      <c r="B10" s="25" t="s">
        <v>12</v>
      </c>
      <c r="C10" s="25"/>
      <c r="D10" s="25">
        <v>3</v>
      </c>
      <c r="E10" s="27" t="s">
        <v>151</v>
      </c>
      <c r="F10" s="39">
        <v>2.5</v>
      </c>
      <c r="G10" s="33">
        <f>D10*F10</f>
        <v>7.5</v>
      </c>
    </row>
    <row r="11" spans="1:7" x14ac:dyDescent="0.45">
      <c r="A11" s="25"/>
      <c r="B11" s="25" t="s">
        <v>13</v>
      </c>
      <c r="C11" s="25"/>
      <c r="D11" s="25">
        <v>0</v>
      </c>
      <c r="E11" s="27" t="s">
        <v>8</v>
      </c>
      <c r="F11" s="39">
        <v>0</v>
      </c>
      <c r="G11" s="33">
        <f t="shared" ref="G11:G20" si="0">D11*F11</f>
        <v>0</v>
      </c>
    </row>
    <row r="12" spans="1:7" x14ac:dyDescent="0.45">
      <c r="A12" s="25"/>
      <c r="B12" s="25" t="s">
        <v>14</v>
      </c>
      <c r="C12" s="25"/>
      <c r="D12" s="25">
        <v>1</v>
      </c>
      <c r="E12" s="27" t="s">
        <v>8</v>
      </c>
      <c r="F12" s="39">
        <v>4.13</v>
      </c>
      <c r="G12" s="33">
        <f t="shared" si="0"/>
        <v>4.13</v>
      </c>
    </row>
    <row r="13" spans="1:7" x14ac:dyDescent="0.45">
      <c r="A13" s="25"/>
      <c r="B13" s="25" t="s">
        <v>15</v>
      </c>
      <c r="C13" s="25"/>
      <c r="D13" s="25">
        <v>0</v>
      </c>
      <c r="E13" s="27" t="s">
        <v>8</v>
      </c>
      <c r="F13" s="39">
        <v>0</v>
      </c>
      <c r="G13" s="33">
        <f t="shared" si="0"/>
        <v>0</v>
      </c>
    </row>
    <row r="14" spans="1:7" x14ac:dyDescent="0.45">
      <c r="A14" s="25"/>
      <c r="B14" s="25" t="s">
        <v>16</v>
      </c>
      <c r="C14" s="25"/>
      <c r="D14" s="25">
        <v>1</v>
      </c>
      <c r="E14" s="27" t="s">
        <v>8</v>
      </c>
      <c r="F14" s="39">
        <v>12</v>
      </c>
      <c r="G14" s="33">
        <f t="shared" si="0"/>
        <v>12</v>
      </c>
    </row>
    <row r="15" spans="1:7" x14ac:dyDescent="0.45">
      <c r="A15" s="25"/>
      <c r="B15" s="25" t="s">
        <v>17</v>
      </c>
      <c r="C15" s="25"/>
      <c r="D15" s="40">
        <v>5.56</v>
      </c>
      <c r="E15" s="27" t="s">
        <v>18</v>
      </c>
      <c r="F15" s="41">
        <v>1.5</v>
      </c>
      <c r="G15" s="33">
        <f>D15*F15</f>
        <v>8.34</v>
      </c>
    </row>
    <row r="16" spans="1:7" x14ac:dyDescent="0.45">
      <c r="A16" s="25"/>
      <c r="B16" s="25" t="s">
        <v>19</v>
      </c>
      <c r="C16" s="25"/>
      <c r="D16" s="42">
        <v>0.1</v>
      </c>
      <c r="E16" s="27" t="s">
        <v>20</v>
      </c>
      <c r="F16" s="39">
        <f>+G15</f>
        <v>8.34</v>
      </c>
      <c r="G16" s="33">
        <f t="shared" si="0"/>
        <v>0.83400000000000007</v>
      </c>
    </row>
    <row r="17" spans="1:9" x14ac:dyDescent="0.45">
      <c r="A17" s="25"/>
      <c r="B17" s="25" t="s">
        <v>21</v>
      </c>
      <c r="C17" s="25"/>
      <c r="D17" s="25">
        <v>1</v>
      </c>
      <c r="E17" s="27" t="s">
        <v>8</v>
      </c>
      <c r="F17" s="39">
        <v>26.1</v>
      </c>
      <c r="G17" s="33">
        <f t="shared" si="0"/>
        <v>26.1</v>
      </c>
    </row>
    <row r="18" spans="1:9" x14ac:dyDescent="0.45">
      <c r="A18" s="25"/>
      <c r="B18" s="25" t="s">
        <v>22</v>
      </c>
      <c r="C18" s="25"/>
      <c r="D18" s="40">
        <v>1.8</v>
      </c>
      <c r="E18" s="27" t="s">
        <v>23</v>
      </c>
      <c r="F18" s="41">
        <v>12</v>
      </c>
      <c r="G18" s="33">
        <f t="shared" si="0"/>
        <v>21.6</v>
      </c>
    </row>
    <row r="19" spans="1:9" x14ac:dyDescent="0.45">
      <c r="A19" s="25"/>
      <c r="B19" s="25" t="s">
        <v>24</v>
      </c>
      <c r="C19" s="25"/>
      <c r="D19" s="25">
        <v>1</v>
      </c>
      <c r="E19" s="27" t="s">
        <v>8</v>
      </c>
      <c r="F19" s="39">
        <v>0</v>
      </c>
      <c r="G19" s="33">
        <f t="shared" si="0"/>
        <v>0</v>
      </c>
    </row>
    <row r="20" spans="1:9" x14ac:dyDescent="0.45">
      <c r="A20" s="25"/>
      <c r="B20" s="25" t="s">
        <v>25</v>
      </c>
      <c r="C20" s="25"/>
      <c r="D20" s="25">
        <v>1</v>
      </c>
      <c r="E20" s="27" t="s">
        <v>8</v>
      </c>
      <c r="F20" s="39">
        <v>0</v>
      </c>
      <c r="G20" s="33">
        <f t="shared" si="0"/>
        <v>0</v>
      </c>
    </row>
    <row r="21" spans="1:9" ht="14.65" thickBot="1" x14ac:dyDescent="0.5">
      <c r="A21" s="25"/>
      <c r="B21" s="25" t="s">
        <v>26</v>
      </c>
      <c r="C21" s="25"/>
      <c r="D21" s="25"/>
      <c r="E21" s="25"/>
      <c r="F21" s="78">
        <f>+Assumptions!C3</f>
        <v>6.5000000000000002E-2</v>
      </c>
      <c r="G21" s="43">
        <f>+SUM(G10:G20)*F21/12*6</f>
        <v>2.6163800000000004</v>
      </c>
      <c r="I21" s="5"/>
    </row>
    <row r="22" spans="1:9" x14ac:dyDescent="0.45">
      <c r="A22" s="25"/>
      <c r="B22" s="25"/>
      <c r="C22" s="25"/>
      <c r="D22" s="25"/>
      <c r="E22" s="25"/>
      <c r="F22" s="25"/>
      <c r="G22" s="33">
        <f>SUM(G10:G21)</f>
        <v>83.120380000000011</v>
      </c>
    </row>
    <row r="23" spans="1:9" x14ac:dyDescent="0.45">
      <c r="A23" s="25" t="s">
        <v>27</v>
      </c>
      <c r="B23" s="25"/>
      <c r="C23" s="25"/>
      <c r="D23" s="25"/>
      <c r="E23" s="25"/>
      <c r="F23" s="25"/>
      <c r="G23" s="25"/>
      <c r="I23" s="5"/>
    </row>
    <row r="24" spans="1:9" x14ac:dyDescent="0.45">
      <c r="A24" s="25"/>
      <c r="B24" s="25" t="s">
        <v>28</v>
      </c>
      <c r="C24" s="25"/>
      <c r="D24" s="25">
        <v>1</v>
      </c>
      <c r="E24" s="25" t="s">
        <v>8</v>
      </c>
      <c r="F24" s="39">
        <f>24+0.48*D3</f>
        <v>36</v>
      </c>
      <c r="G24" s="33">
        <f>+D24*F24</f>
        <v>36</v>
      </c>
    </row>
    <row r="25" spans="1:9" x14ac:dyDescent="0.45">
      <c r="A25" s="25"/>
      <c r="B25" s="25" t="s">
        <v>29</v>
      </c>
      <c r="C25" s="25"/>
      <c r="D25" s="25"/>
      <c r="E25" s="25"/>
      <c r="F25" s="44"/>
      <c r="G25" s="25"/>
    </row>
    <row r="26" spans="1:9" ht="14.65" thickBot="1" x14ac:dyDescent="0.5">
      <c r="A26" s="25"/>
      <c r="B26" s="25"/>
      <c r="C26" s="25" t="s">
        <v>30</v>
      </c>
      <c r="D26" s="25">
        <v>1</v>
      </c>
      <c r="E26" s="25" t="s">
        <v>8</v>
      </c>
      <c r="F26" s="39">
        <v>0</v>
      </c>
      <c r="G26" s="43">
        <f>+D26*F26</f>
        <v>0</v>
      </c>
    </row>
    <row r="27" spans="1:9" ht="14.65" thickBot="1" x14ac:dyDescent="0.5">
      <c r="A27" s="25"/>
      <c r="B27" s="25"/>
      <c r="C27" s="25"/>
      <c r="D27" s="25" t="s">
        <v>31</v>
      </c>
      <c r="E27" s="25"/>
      <c r="F27" s="44"/>
      <c r="G27" s="45">
        <f>+G24+G26</f>
        <v>36</v>
      </c>
    </row>
    <row r="28" spans="1:9" ht="14.65" thickTop="1" x14ac:dyDescent="0.45">
      <c r="A28" s="25"/>
      <c r="B28" s="25"/>
      <c r="C28" s="25"/>
      <c r="D28" s="25"/>
      <c r="E28" s="25"/>
      <c r="F28" s="44"/>
      <c r="G28" s="25"/>
    </row>
    <row r="29" spans="1:9" ht="14.65" thickBot="1" x14ac:dyDescent="0.5">
      <c r="A29" s="25" t="s">
        <v>32</v>
      </c>
      <c r="B29" s="25"/>
      <c r="C29" s="25"/>
      <c r="D29" s="25">
        <v>1</v>
      </c>
      <c r="E29" s="25" t="s">
        <v>8</v>
      </c>
      <c r="F29" s="39">
        <v>0</v>
      </c>
      <c r="G29" s="46">
        <f>+D29*F29</f>
        <v>0</v>
      </c>
    </row>
    <row r="30" spans="1:9" ht="14.65" thickTop="1" x14ac:dyDescent="0.45">
      <c r="A30" s="25"/>
      <c r="B30" s="25"/>
      <c r="C30" s="25"/>
      <c r="D30" s="25"/>
      <c r="E30" s="25"/>
      <c r="F30" s="25"/>
      <c r="G30" s="25"/>
    </row>
    <row r="31" spans="1:9" ht="14.65" thickBot="1" x14ac:dyDescent="0.5">
      <c r="A31" s="25" t="s">
        <v>33</v>
      </c>
      <c r="B31" s="25"/>
      <c r="C31" s="25"/>
      <c r="D31" s="25"/>
      <c r="E31" s="25"/>
      <c r="F31" s="25"/>
      <c r="G31" s="36">
        <f>+G22+G27+G29</f>
        <v>119.12038000000001</v>
      </c>
    </row>
    <row r="32" spans="1:9" ht="14.65" thickTop="1" x14ac:dyDescent="0.45">
      <c r="A32" s="25"/>
      <c r="B32" s="25"/>
      <c r="C32" s="25"/>
      <c r="D32" s="25"/>
      <c r="E32" s="25"/>
      <c r="F32" s="25"/>
      <c r="G32" s="25"/>
    </row>
    <row r="33" spans="1:7" x14ac:dyDescent="0.45">
      <c r="A33" s="25" t="s">
        <v>34</v>
      </c>
      <c r="B33" s="25"/>
      <c r="C33" s="25"/>
      <c r="D33" s="25"/>
      <c r="E33" s="25"/>
      <c r="F33" s="25"/>
      <c r="G33" s="33">
        <f>+G7-G31</f>
        <v>30.879619999999989</v>
      </c>
    </row>
    <row r="34" spans="1:7" x14ac:dyDescent="0.45">
      <c r="A34" s="25"/>
      <c r="B34" s="25" t="s">
        <v>35</v>
      </c>
      <c r="C34" s="25"/>
      <c r="D34" s="25"/>
      <c r="E34" s="25" t="s">
        <v>6</v>
      </c>
      <c r="F34" s="47">
        <f>IF(D3=0,"n/a",(G31-G4-G5-G6)/D3)</f>
        <v>4.7648152000000001</v>
      </c>
      <c r="G34" s="25"/>
    </row>
    <row r="35" spans="1:7" x14ac:dyDescent="0.45">
      <c r="A35" s="25"/>
      <c r="B35" s="25"/>
      <c r="C35" s="25"/>
      <c r="D35" s="25"/>
      <c r="E35" s="25"/>
      <c r="F35" s="25"/>
      <c r="G35" s="25"/>
    </row>
    <row r="36" spans="1:7" x14ac:dyDescent="0.45">
      <c r="A36" s="28" t="s">
        <v>36</v>
      </c>
      <c r="B36" s="28"/>
      <c r="C36" s="28"/>
      <c r="D36" s="28" t="s">
        <v>1</v>
      </c>
      <c r="E36" s="28" t="s">
        <v>2</v>
      </c>
      <c r="F36" s="28" t="s">
        <v>3</v>
      </c>
      <c r="G36" s="28" t="s">
        <v>4</v>
      </c>
    </row>
    <row r="37" spans="1:7" x14ac:dyDescent="0.45">
      <c r="A37" s="25"/>
      <c r="B37" s="25" t="s">
        <v>37</v>
      </c>
      <c r="C37" s="25"/>
      <c r="D37" s="25">
        <v>1</v>
      </c>
      <c r="E37" s="25" t="s">
        <v>8</v>
      </c>
      <c r="F37" s="39">
        <v>29.48</v>
      </c>
      <c r="G37" s="33">
        <f>D37*F37</f>
        <v>29.48</v>
      </c>
    </row>
    <row r="38" spans="1:7" x14ac:dyDescent="0.45">
      <c r="A38" s="25"/>
      <c r="B38" s="25" t="s">
        <v>38</v>
      </c>
      <c r="C38" s="25"/>
      <c r="D38" s="25">
        <v>1</v>
      </c>
      <c r="E38" s="25" t="s">
        <v>8</v>
      </c>
      <c r="F38" s="39">
        <f>+'[1]Wheat Dual A EGP'!F38</f>
        <v>0</v>
      </c>
      <c r="G38" s="33">
        <f t="shared" ref="G38:G45" si="1">D38*F38</f>
        <v>0</v>
      </c>
    </row>
    <row r="39" spans="1:7" x14ac:dyDescent="0.45">
      <c r="A39" s="25"/>
      <c r="B39" s="25" t="s">
        <v>39</v>
      </c>
      <c r="C39" s="25"/>
      <c r="D39" s="25">
        <v>1</v>
      </c>
      <c r="E39" s="25" t="s">
        <v>8</v>
      </c>
      <c r="F39" s="39">
        <f>+'[1]Wheat Dual A EGP'!F39</f>
        <v>0</v>
      </c>
      <c r="G39" s="33">
        <f t="shared" si="1"/>
        <v>0</v>
      </c>
    </row>
    <row r="40" spans="1:7" x14ac:dyDescent="0.45">
      <c r="A40" s="25"/>
      <c r="B40" s="25" t="s">
        <v>40</v>
      </c>
      <c r="C40" s="25"/>
      <c r="D40" s="25">
        <v>1</v>
      </c>
      <c r="E40" s="25" t="s">
        <v>8</v>
      </c>
      <c r="F40" s="39">
        <v>30</v>
      </c>
      <c r="G40" s="33">
        <f t="shared" si="1"/>
        <v>30</v>
      </c>
    </row>
    <row r="41" spans="1:7" x14ac:dyDescent="0.45">
      <c r="A41" s="25"/>
      <c r="B41" s="25" t="s">
        <v>41</v>
      </c>
      <c r="C41" s="25"/>
      <c r="D41" s="25">
        <v>1</v>
      </c>
      <c r="E41" s="25" t="s">
        <v>8</v>
      </c>
      <c r="F41" s="39">
        <f>+'[1]Wheat Dual A EGP'!F41</f>
        <v>0</v>
      </c>
      <c r="G41" s="33">
        <f t="shared" si="1"/>
        <v>0</v>
      </c>
    </row>
    <row r="42" spans="1:7" x14ac:dyDescent="0.45">
      <c r="A42" s="25"/>
      <c r="B42" s="25" t="s">
        <v>142</v>
      </c>
      <c r="C42" s="25"/>
      <c r="D42" s="25">
        <v>1</v>
      </c>
      <c r="E42" s="25" t="s">
        <v>8</v>
      </c>
      <c r="F42" s="39">
        <f>5.05+0.45+4.16</f>
        <v>9.66</v>
      </c>
      <c r="G42" s="33">
        <f t="shared" si="1"/>
        <v>9.66</v>
      </c>
    </row>
    <row r="43" spans="1:7" x14ac:dyDescent="0.45">
      <c r="A43" s="25"/>
      <c r="B43" s="34" t="s">
        <v>43</v>
      </c>
      <c r="C43" s="34"/>
      <c r="D43" s="34">
        <v>1</v>
      </c>
      <c r="E43" s="34" t="s">
        <v>8</v>
      </c>
      <c r="F43" s="39">
        <f>+'[1]Wheat Dual A EGP'!F43</f>
        <v>0</v>
      </c>
      <c r="G43" s="33">
        <f t="shared" si="1"/>
        <v>0</v>
      </c>
    </row>
    <row r="44" spans="1:7" x14ac:dyDescent="0.45">
      <c r="A44" s="25"/>
      <c r="B44" s="34" t="s">
        <v>43</v>
      </c>
      <c r="C44" s="34"/>
      <c r="D44" s="34">
        <v>1</v>
      </c>
      <c r="E44" s="34" t="s">
        <v>8</v>
      </c>
      <c r="F44" s="39">
        <f>+'[1]Wheat Dual A EGP'!F44</f>
        <v>0</v>
      </c>
      <c r="G44" s="33">
        <f t="shared" si="1"/>
        <v>0</v>
      </c>
    </row>
    <row r="45" spans="1:7" ht="14.65" thickBot="1" x14ac:dyDescent="0.5">
      <c r="A45" s="25"/>
      <c r="B45" s="34" t="s">
        <v>43</v>
      </c>
      <c r="C45" s="34"/>
      <c r="D45" s="34">
        <v>1</v>
      </c>
      <c r="E45" s="34" t="s">
        <v>8</v>
      </c>
      <c r="F45" s="39">
        <f>+'[1]Wheat Dual A EGP'!F45</f>
        <v>0</v>
      </c>
      <c r="G45" s="36">
        <f t="shared" si="1"/>
        <v>0</v>
      </c>
    </row>
    <row r="46" spans="1:7" ht="14.65" thickTop="1" x14ac:dyDescent="0.45">
      <c r="A46" s="25"/>
      <c r="B46" s="25"/>
      <c r="C46" s="25"/>
      <c r="D46" s="25"/>
      <c r="E46" s="25"/>
      <c r="F46" s="25"/>
      <c r="G46" s="25"/>
    </row>
    <row r="47" spans="1:7" ht="14.65" thickBot="1" x14ac:dyDescent="0.5">
      <c r="A47" s="25" t="s">
        <v>44</v>
      </c>
      <c r="B47" s="25"/>
      <c r="C47" s="25"/>
      <c r="D47" s="25"/>
      <c r="E47" s="25"/>
      <c r="F47" s="25"/>
      <c r="G47" s="36">
        <f>SUM(G37:G45)</f>
        <v>69.14</v>
      </c>
    </row>
    <row r="48" spans="1:7" ht="14.65" thickTop="1" x14ac:dyDescent="0.45">
      <c r="A48" s="25"/>
      <c r="B48" s="25"/>
      <c r="C48" s="25"/>
      <c r="D48" s="25"/>
      <c r="E48" s="25"/>
      <c r="F48" s="25"/>
      <c r="G48" s="25"/>
    </row>
    <row r="49" spans="1:7" ht="14.65" thickBot="1" x14ac:dyDescent="0.5">
      <c r="A49" s="25" t="s">
        <v>45</v>
      </c>
      <c r="B49" s="25"/>
      <c r="C49" s="25"/>
      <c r="D49" s="25"/>
      <c r="E49" s="25"/>
      <c r="F49" s="25"/>
      <c r="G49" s="36">
        <f>+G31+G47</f>
        <v>188.26038</v>
      </c>
    </row>
    <row r="50" spans="1:7" ht="14.65" thickTop="1" x14ac:dyDescent="0.45">
      <c r="A50" s="25"/>
      <c r="B50" s="25"/>
      <c r="C50" s="25"/>
      <c r="D50" s="25"/>
      <c r="E50" s="25"/>
      <c r="F50" s="25"/>
      <c r="G50" s="25"/>
    </row>
    <row r="51" spans="1:7" x14ac:dyDescent="0.45">
      <c r="A51" s="25" t="s">
        <v>46</v>
      </c>
      <c r="B51" s="25"/>
      <c r="C51" s="25"/>
      <c r="D51" s="25"/>
      <c r="E51" s="25"/>
      <c r="F51" s="25"/>
      <c r="G51" s="33">
        <f>+G7-G49</f>
        <v>-38.260379999999998</v>
      </c>
    </row>
    <row r="52" spans="1:7" ht="14.65" thickBot="1" x14ac:dyDescent="0.5">
      <c r="A52" s="48" t="s">
        <v>47</v>
      </c>
      <c r="B52" s="48"/>
      <c r="C52" s="48"/>
      <c r="D52" s="48"/>
      <c r="E52" s="48" t="s">
        <v>6</v>
      </c>
      <c r="F52" s="49">
        <f>IF(D3=0,"n/a",(G49-G4-G5-G6)/D3)</f>
        <v>7.5304152000000002</v>
      </c>
      <c r="G52" s="48"/>
    </row>
    <row r="53" spans="1:7" ht="14.65" thickTop="1" x14ac:dyDescent="0.45"/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B5B69-1E60-4117-A7AA-5A643BF3521A}">
  <dimension ref="A1:I53"/>
  <sheetViews>
    <sheetView topLeftCell="A10" workbookViewId="0">
      <selection activeCell="F24" sqref="F24"/>
    </sheetView>
  </sheetViews>
  <sheetFormatPr defaultRowHeight="14.25" x14ac:dyDescent="0.45"/>
  <cols>
    <col min="1" max="2" width="3" style="1" customWidth="1"/>
    <col min="3" max="3" width="27.1328125" style="1" customWidth="1"/>
    <col min="4" max="7" width="10.1328125" style="1" customWidth="1"/>
    <col min="8" max="255" width="9.06640625" style="1"/>
    <col min="256" max="257" width="3" style="1" customWidth="1"/>
    <col min="258" max="258" width="27.1328125" style="1" customWidth="1"/>
    <col min="259" max="263" width="10.1328125" style="1" customWidth="1"/>
    <col min="264" max="511" width="9.06640625" style="1"/>
    <col min="512" max="513" width="3" style="1" customWidth="1"/>
    <col min="514" max="514" width="27.1328125" style="1" customWidth="1"/>
    <col min="515" max="519" width="10.1328125" style="1" customWidth="1"/>
    <col min="520" max="767" width="9.06640625" style="1"/>
    <col min="768" max="769" width="3" style="1" customWidth="1"/>
    <col min="770" max="770" width="27.1328125" style="1" customWidth="1"/>
    <col min="771" max="775" width="10.1328125" style="1" customWidth="1"/>
    <col min="776" max="1023" width="9.06640625" style="1"/>
    <col min="1024" max="1025" width="3" style="1" customWidth="1"/>
    <col min="1026" max="1026" width="27.1328125" style="1" customWidth="1"/>
    <col min="1027" max="1031" width="10.1328125" style="1" customWidth="1"/>
    <col min="1032" max="1279" width="9.06640625" style="1"/>
    <col min="1280" max="1281" width="3" style="1" customWidth="1"/>
    <col min="1282" max="1282" width="27.1328125" style="1" customWidth="1"/>
    <col min="1283" max="1287" width="10.1328125" style="1" customWidth="1"/>
    <col min="1288" max="1535" width="9.06640625" style="1"/>
    <col min="1536" max="1537" width="3" style="1" customWidth="1"/>
    <col min="1538" max="1538" width="27.1328125" style="1" customWidth="1"/>
    <col min="1539" max="1543" width="10.1328125" style="1" customWidth="1"/>
    <col min="1544" max="1791" width="9.06640625" style="1"/>
    <col min="1792" max="1793" width="3" style="1" customWidth="1"/>
    <col min="1794" max="1794" width="27.1328125" style="1" customWidth="1"/>
    <col min="1795" max="1799" width="10.1328125" style="1" customWidth="1"/>
    <col min="1800" max="2047" width="9.06640625" style="1"/>
    <col min="2048" max="2049" width="3" style="1" customWidth="1"/>
    <col min="2050" max="2050" width="27.1328125" style="1" customWidth="1"/>
    <col min="2051" max="2055" width="10.1328125" style="1" customWidth="1"/>
    <col min="2056" max="2303" width="9.06640625" style="1"/>
    <col min="2304" max="2305" width="3" style="1" customWidth="1"/>
    <col min="2306" max="2306" width="27.1328125" style="1" customWidth="1"/>
    <col min="2307" max="2311" width="10.1328125" style="1" customWidth="1"/>
    <col min="2312" max="2559" width="9.06640625" style="1"/>
    <col min="2560" max="2561" width="3" style="1" customWidth="1"/>
    <col min="2562" max="2562" width="27.1328125" style="1" customWidth="1"/>
    <col min="2563" max="2567" width="10.1328125" style="1" customWidth="1"/>
    <col min="2568" max="2815" width="9.06640625" style="1"/>
    <col min="2816" max="2817" width="3" style="1" customWidth="1"/>
    <col min="2818" max="2818" width="27.1328125" style="1" customWidth="1"/>
    <col min="2819" max="2823" width="10.1328125" style="1" customWidth="1"/>
    <col min="2824" max="3071" width="9.06640625" style="1"/>
    <col min="3072" max="3073" width="3" style="1" customWidth="1"/>
    <col min="3074" max="3074" width="27.1328125" style="1" customWidth="1"/>
    <col min="3075" max="3079" width="10.1328125" style="1" customWidth="1"/>
    <col min="3080" max="3327" width="9.06640625" style="1"/>
    <col min="3328" max="3329" width="3" style="1" customWidth="1"/>
    <col min="3330" max="3330" width="27.1328125" style="1" customWidth="1"/>
    <col min="3331" max="3335" width="10.1328125" style="1" customWidth="1"/>
    <col min="3336" max="3583" width="9.06640625" style="1"/>
    <col min="3584" max="3585" width="3" style="1" customWidth="1"/>
    <col min="3586" max="3586" width="27.1328125" style="1" customWidth="1"/>
    <col min="3587" max="3591" width="10.1328125" style="1" customWidth="1"/>
    <col min="3592" max="3839" width="9.06640625" style="1"/>
    <col min="3840" max="3841" width="3" style="1" customWidth="1"/>
    <col min="3842" max="3842" width="27.1328125" style="1" customWidth="1"/>
    <col min="3843" max="3847" width="10.1328125" style="1" customWidth="1"/>
    <col min="3848" max="4095" width="9.06640625" style="1"/>
    <col min="4096" max="4097" width="3" style="1" customWidth="1"/>
    <col min="4098" max="4098" width="27.1328125" style="1" customWidth="1"/>
    <col min="4099" max="4103" width="10.1328125" style="1" customWidth="1"/>
    <col min="4104" max="4351" width="9.06640625" style="1"/>
    <col min="4352" max="4353" width="3" style="1" customWidth="1"/>
    <col min="4354" max="4354" width="27.1328125" style="1" customWidth="1"/>
    <col min="4355" max="4359" width="10.1328125" style="1" customWidth="1"/>
    <col min="4360" max="4607" width="9.06640625" style="1"/>
    <col min="4608" max="4609" width="3" style="1" customWidth="1"/>
    <col min="4610" max="4610" width="27.1328125" style="1" customWidth="1"/>
    <col min="4611" max="4615" width="10.1328125" style="1" customWidth="1"/>
    <col min="4616" max="4863" width="9.06640625" style="1"/>
    <col min="4864" max="4865" width="3" style="1" customWidth="1"/>
    <col min="4866" max="4866" width="27.1328125" style="1" customWidth="1"/>
    <col min="4867" max="4871" width="10.1328125" style="1" customWidth="1"/>
    <col min="4872" max="5119" width="9.06640625" style="1"/>
    <col min="5120" max="5121" width="3" style="1" customWidth="1"/>
    <col min="5122" max="5122" width="27.1328125" style="1" customWidth="1"/>
    <col min="5123" max="5127" width="10.1328125" style="1" customWidth="1"/>
    <col min="5128" max="5375" width="9.06640625" style="1"/>
    <col min="5376" max="5377" width="3" style="1" customWidth="1"/>
    <col min="5378" max="5378" width="27.1328125" style="1" customWidth="1"/>
    <col min="5379" max="5383" width="10.1328125" style="1" customWidth="1"/>
    <col min="5384" max="5631" width="9.06640625" style="1"/>
    <col min="5632" max="5633" width="3" style="1" customWidth="1"/>
    <col min="5634" max="5634" width="27.1328125" style="1" customWidth="1"/>
    <col min="5635" max="5639" width="10.1328125" style="1" customWidth="1"/>
    <col min="5640" max="5887" width="9.06640625" style="1"/>
    <col min="5888" max="5889" width="3" style="1" customWidth="1"/>
    <col min="5890" max="5890" width="27.1328125" style="1" customWidth="1"/>
    <col min="5891" max="5895" width="10.1328125" style="1" customWidth="1"/>
    <col min="5896" max="6143" width="9.06640625" style="1"/>
    <col min="6144" max="6145" width="3" style="1" customWidth="1"/>
    <col min="6146" max="6146" width="27.1328125" style="1" customWidth="1"/>
    <col min="6147" max="6151" width="10.1328125" style="1" customWidth="1"/>
    <col min="6152" max="6399" width="9.06640625" style="1"/>
    <col min="6400" max="6401" width="3" style="1" customWidth="1"/>
    <col min="6402" max="6402" width="27.1328125" style="1" customWidth="1"/>
    <col min="6403" max="6407" width="10.1328125" style="1" customWidth="1"/>
    <col min="6408" max="6655" width="9.06640625" style="1"/>
    <col min="6656" max="6657" width="3" style="1" customWidth="1"/>
    <col min="6658" max="6658" width="27.1328125" style="1" customWidth="1"/>
    <col min="6659" max="6663" width="10.1328125" style="1" customWidth="1"/>
    <col min="6664" max="6911" width="9.06640625" style="1"/>
    <col min="6912" max="6913" width="3" style="1" customWidth="1"/>
    <col min="6914" max="6914" width="27.1328125" style="1" customWidth="1"/>
    <col min="6915" max="6919" width="10.1328125" style="1" customWidth="1"/>
    <col min="6920" max="7167" width="9.06640625" style="1"/>
    <col min="7168" max="7169" width="3" style="1" customWidth="1"/>
    <col min="7170" max="7170" width="27.1328125" style="1" customWidth="1"/>
    <col min="7171" max="7175" width="10.1328125" style="1" customWidth="1"/>
    <col min="7176" max="7423" width="9.06640625" style="1"/>
    <col min="7424" max="7425" width="3" style="1" customWidth="1"/>
    <col min="7426" max="7426" width="27.1328125" style="1" customWidth="1"/>
    <col min="7427" max="7431" width="10.1328125" style="1" customWidth="1"/>
    <col min="7432" max="7679" width="9.06640625" style="1"/>
    <col min="7680" max="7681" width="3" style="1" customWidth="1"/>
    <col min="7682" max="7682" width="27.1328125" style="1" customWidth="1"/>
    <col min="7683" max="7687" width="10.1328125" style="1" customWidth="1"/>
    <col min="7688" max="7935" width="9.06640625" style="1"/>
    <col min="7936" max="7937" width="3" style="1" customWidth="1"/>
    <col min="7938" max="7938" width="27.1328125" style="1" customWidth="1"/>
    <col min="7939" max="7943" width="10.1328125" style="1" customWidth="1"/>
    <col min="7944" max="8191" width="9.06640625" style="1"/>
    <col min="8192" max="8193" width="3" style="1" customWidth="1"/>
    <col min="8194" max="8194" width="27.1328125" style="1" customWidth="1"/>
    <col min="8195" max="8199" width="10.1328125" style="1" customWidth="1"/>
    <col min="8200" max="8447" width="9.06640625" style="1"/>
    <col min="8448" max="8449" width="3" style="1" customWidth="1"/>
    <col min="8450" max="8450" width="27.1328125" style="1" customWidth="1"/>
    <col min="8451" max="8455" width="10.1328125" style="1" customWidth="1"/>
    <col min="8456" max="8703" width="9.06640625" style="1"/>
    <col min="8704" max="8705" width="3" style="1" customWidth="1"/>
    <col min="8706" max="8706" width="27.1328125" style="1" customWidth="1"/>
    <col min="8707" max="8711" width="10.1328125" style="1" customWidth="1"/>
    <col min="8712" max="8959" width="9.06640625" style="1"/>
    <col min="8960" max="8961" width="3" style="1" customWidth="1"/>
    <col min="8962" max="8962" width="27.1328125" style="1" customWidth="1"/>
    <col min="8963" max="8967" width="10.1328125" style="1" customWidth="1"/>
    <col min="8968" max="9215" width="9.06640625" style="1"/>
    <col min="9216" max="9217" width="3" style="1" customWidth="1"/>
    <col min="9218" max="9218" width="27.1328125" style="1" customWidth="1"/>
    <col min="9219" max="9223" width="10.1328125" style="1" customWidth="1"/>
    <col min="9224" max="9471" width="9.06640625" style="1"/>
    <col min="9472" max="9473" width="3" style="1" customWidth="1"/>
    <col min="9474" max="9474" width="27.1328125" style="1" customWidth="1"/>
    <col min="9475" max="9479" width="10.1328125" style="1" customWidth="1"/>
    <col min="9480" max="9727" width="9.06640625" style="1"/>
    <col min="9728" max="9729" width="3" style="1" customWidth="1"/>
    <col min="9730" max="9730" width="27.1328125" style="1" customWidth="1"/>
    <col min="9731" max="9735" width="10.1328125" style="1" customWidth="1"/>
    <col min="9736" max="9983" width="9.06640625" style="1"/>
    <col min="9984" max="9985" width="3" style="1" customWidth="1"/>
    <col min="9986" max="9986" width="27.1328125" style="1" customWidth="1"/>
    <col min="9987" max="9991" width="10.1328125" style="1" customWidth="1"/>
    <col min="9992" max="10239" width="9.06640625" style="1"/>
    <col min="10240" max="10241" width="3" style="1" customWidth="1"/>
    <col min="10242" max="10242" width="27.1328125" style="1" customWidth="1"/>
    <col min="10243" max="10247" width="10.1328125" style="1" customWidth="1"/>
    <col min="10248" max="10495" width="9.06640625" style="1"/>
    <col min="10496" max="10497" width="3" style="1" customWidth="1"/>
    <col min="10498" max="10498" width="27.1328125" style="1" customWidth="1"/>
    <col min="10499" max="10503" width="10.1328125" style="1" customWidth="1"/>
    <col min="10504" max="10751" width="9.06640625" style="1"/>
    <col min="10752" max="10753" width="3" style="1" customWidth="1"/>
    <col min="10754" max="10754" width="27.1328125" style="1" customWidth="1"/>
    <col min="10755" max="10759" width="10.1328125" style="1" customWidth="1"/>
    <col min="10760" max="11007" width="9.06640625" style="1"/>
    <col min="11008" max="11009" width="3" style="1" customWidth="1"/>
    <col min="11010" max="11010" width="27.1328125" style="1" customWidth="1"/>
    <col min="11011" max="11015" width="10.1328125" style="1" customWidth="1"/>
    <col min="11016" max="11263" width="9.06640625" style="1"/>
    <col min="11264" max="11265" width="3" style="1" customWidth="1"/>
    <col min="11266" max="11266" width="27.1328125" style="1" customWidth="1"/>
    <col min="11267" max="11271" width="10.1328125" style="1" customWidth="1"/>
    <col min="11272" max="11519" width="9.06640625" style="1"/>
    <col min="11520" max="11521" width="3" style="1" customWidth="1"/>
    <col min="11522" max="11522" width="27.1328125" style="1" customWidth="1"/>
    <col min="11523" max="11527" width="10.1328125" style="1" customWidth="1"/>
    <col min="11528" max="11775" width="9.06640625" style="1"/>
    <col min="11776" max="11777" width="3" style="1" customWidth="1"/>
    <col min="11778" max="11778" width="27.1328125" style="1" customWidth="1"/>
    <col min="11779" max="11783" width="10.1328125" style="1" customWidth="1"/>
    <col min="11784" max="12031" width="9.06640625" style="1"/>
    <col min="12032" max="12033" width="3" style="1" customWidth="1"/>
    <col min="12034" max="12034" width="27.1328125" style="1" customWidth="1"/>
    <col min="12035" max="12039" width="10.1328125" style="1" customWidth="1"/>
    <col min="12040" max="12287" width="9.06640625" style="1"/>
    <col min="12288" max="12289" width="3" style="1" customWidth="1"/>
    <col min="12290" max="12290" width="27.1328125" style="1" customWidth="1"/>
    <col min="12291" max="12295" width="10.1328125" style="1" customWidth="1"/>
    <col min="12296" max="12543" width="9.06640625" style="1"/>
    <col min="12544" max="12545" width="3" style="1" customWidth="1"/>
    <col min="12546" max="12546" width="27.1328125" style="1" customWidth="1"/>
    <col min="12547" max="12551" width="10.1328125" style="1" customWidth="1"/>
    <col min="12552" max="12799" width="9.06640625" style="1"/>
    <col min="12800" max="12801" width="3" style="1" customWidth="1"/>
    <col min="12802" max="12802" width="27.1328125" style="1" customWidth="1"/>
    <col min="12803" max="12807" width="10.1328125" style="1" customWidth="1"/>
    <col min="12808" max="13055" width="9.06640625" style="1"/>
    <col min="13056" max="13057" width="3" style="1" customWidth="1"/>
    <col min="13058" max="13058" width="27.1328125" style="1" customWidth="1"/>
    <col min="13059" max="13063" width="10.1328125" style="1" customWidth="1"/>
    <col min="13064" max="13311" width="9.06640625" style="1"/>
    <col min="13312" max="13313" width="3" style="1" customWidth="1"/>
    <col min="13314" max="13314" width="27.1328125" style="1" customWidth="1"/>
    <col min="13315" max="13319" width="10.1328125" style="1" customWidth="1"/>
    <col min="13320" max="13567" width="9.06640625" style="1"/>
    <col min="13568" max="13569" width="3" style="1" customWidth="1"/>
    <col min="13570" max="13570" width="27.1328125" style="1" customWidth="1"/>
    <col min="13571" max="13575" width="10.1328125" style="1" customWidth="1"/>
    <col min="13576" max="13823" width="9.06640625" style="1"/>
    <col min="13824" max="13825" width="3" style="1" customWidth="1"/>
    <col min="13826" max="13826" width="27.1328125" style="1" customWidth="1"/>
    <col min="13827" max="13831" width="10.1328125" style="1" customWidth="1"/>
    <col min="13832" max="14079" width="9.06640625" style="1"/>
    <col min="14080" max="14081" width="3" style="1" customWidth="1"/>
    <col min="14082" max="14082" width="27.1328125" style="1" customWidth="1"/>
    <col min="14083" max="14087" width="10.1328125" style="1" customWidth="1"/>
    <col min="14088" max="14335" width="9.06640625" style="1"/>
    <col min="14336" max="14337" width="3" style="1" customWidth="1"/>
    <col min="14338" max="14338" width="27.1328125" style="1" customWidth="1"/>
    <col min="14339" max="14343" width="10.1328125" style="1" customWidth="1"/>
    <col min="14344" max="14591" width="9.06640625" style="1"/>
    <col min="14592" max="14593" width="3" style="1" customWidth="1"/>
    <col min="14594" max="14594" width="27.1328125" style="1" customWidth="1"/>
    <col min="14595" max="14599" width="10.1328125" style="1" customWidth="1"/>
    <col min="14600" max="14847" width="9.06640625" style="1"/>
    <col min="14848" max="14849" width="3" style="1" customWidth="1"/>
    <col min="14850" max="14850" width="27.1328125" style="1" customWidth="1"/>
    <col min="14851" max="14855" width="10.1328125" style="1" customWidth="1"/>
    <col min="14856" max="15103" width="9.06640625" style="1"/>
    <col min="15104" max="15105" width="3" style="1" customWidth="1"/>
    <col min="15106" max="15106" width="27.1328125" style="1" customWidth="1"/>
    <col min="15107" max="15111" width="10.1328125" style="1" customWidth="1"/>
    <col min="15112" max="15359" width="9.06640625" style="1"/>
    <col min="15360" max="15361" width="3" style="1" customWidth="1"/>
    <col min="15362" max="15362" width="27.1328125" style="1" customWidth="1"/>
    <col min="15363" max="15367" width="10.1328125" style="1" customWidth="1"/>
    <col min="15368" max="15615" width="9.06640625" style="1"/>
    <col min="15616" max="15617" width="3" style="1" customWidth="1"/>
    <col min="15618" max="15618" width="27.1328125" style="1" customWidth="1"/>
    <col min="15619" max="15623" width="10.1328125" style="1" customWidth="1"/>
    <col min="15624" max="15871" width="9.06640625" style="1"/>
    <col min="15872" max="15873" width="3" style="1" customWidth="1"/>
    <col min="15874" max="15874" width="27.1328125" style="1" customWidth="1"/>
    <col min="15875" max="15879" width="10.1328125" style="1" customWidth="1"/>
    <col min="15880" max="16127" width="9.06640625" style="1"/>
    <col min="16128" max="16129" width="3" style="1" customWidth="1"/>
    <col min="16130" max="16130" width="27.1328125" style="1" customWidth="1"/>
    <col min="16131" max="16135" width="10.1328125" style="1" customWidth="1"/>
    <col min="16136" max="16384" width="9.06640625" style="1"/>
  </cols>
  <sheetData>
    <row r="1" spans="1:7" x14ac:dyDescent="0.45">
      <c r="A1" s="25"/>
      <c r="B1" s="26" t="s">
        <v>154</v>
      </c>
      <c r="C1" s="25"/>
      <c r="D1" s="27"/>
      <c r="E1" s="27"/>
      <c r="F1" s="27"/>
      <c r="G1" s="27">
        <f>+[1]Assumptions!C8</f>
        <v>0</v>
      </c>
    </row>
    <row r="2" spans="1:7" x14ac:dyDescent="0.45">
      <c r="A2" s="28" t="s">
        <v>0</v>
      </c>
      <c r="B2" s="26"/>
      <c r="C2" s="28"/>
      <c r="D2" s="29" t="s">
        <v>1</v>
      </c>
      <c r="E2" s="29" t="s">
        <v>2</v>
      </c>
      <c r="F2" s="29" t="s">
        <v>3</v>
      </c>
      <c r="G2" s="29" t="s">
        <v>4</v>
      </c>
    </row>
    <row r="3" spans="1:7" x14ac:dyDescent="0.45">
      <c r="A3" s="25"/>
      <c r="B3" s="25" t="s">
        <v>5</v>
      </c>
      <c r="C3" s="25"/>
      <c r="D3" s="69">
        <f>+Assumptions!C14</f>
        <v>160</v>
      </c>
      <c r="E3" s="31" t="s">
        <v>152</v>
      </c>
      <c r="F3" s="70">
        <f>+Assumptions!C21</f>
        <v>3.4</v>
      </c>
      <c r="G3" s="33">
        <f>D3*F3</f>
        <v>544</v>
      </c>
    </row>
    <row r="4" spans="1:7" x14ac:dyDescent="0.45">
      <c r="A4" s="25"/>
      <c r="B4" s="34" t="s">
        <v>7</v>
      </c>
      <c r="C4" s="35"/>
      <c r="D4" s="34">
        <v>0</v>
      </c>
      <c r="E4" s="31" t="s">
        <v>8</v>
      </c>
      <c r="F4" s="32">
        <v>0</v>
      </c>
      <c r="G4" s="33">
        <f>D4*F4</f>
        <v>0</v>
      </c>
    </row>
    <row r="5" spans="1:7" x14ac:dyDescent="0.45">
      <c r="A5" s="25"/>
      <c r="B5" s="34" t="s">
        <v>7</v>
      </c>
      <c r="C5" s="35"/>
      <c r="D5" s="34">
        <v>1</v>
      </c>
      <c r="E5" s="31" t="s">
        <v>8</v>
      </c>
      <c r="F5" s="32">
        <v>0</v>
      </c>
      <c r="G5" s="33">
        <f>D5*F5</f>
        <v>0</v>
      </c>
    </row>
    <row r="6" spans="1:7" ht="14.65" thickBot="1" x14ac:dyDescent="0.5">
      <c r="A6" s="25"/>
      <c r="B6" s="34" t="s">
        <v>7</v>
      </c>
      <c r="C6" s="35"/>
      <c r="D6" s="34">
        <v>1</v>
      </c>
      <c r="E6" s="31" t="s">
        <v>8</v>
      </c>
      <c r="F6" s="32">
        <v>0</v>
      </c>
      <c r="G6" s="36">
        <f>D6*F6</f>
        <v>0</v>
      </c>
    </row>
    <row r="7" spans="1:7" ht="14.65" thickTop="1" x14ac:dyDescent="0.45">
      <c r="A7" s="25" t="s">
        <v>9</v>
      </c>
      <c r="B7" s="25"/>
      <c r="C7" s="25"/>
      <c r="D7" s="25"/>
      <c r="E7" s="25"/>
      <c r="F7" s="25"/>
      <c r="G7" s="33">
        <f>SUM(G3:G6)</f>
        <v>544</v>
      </c>
    </row>
    <row r="8" spans="1:7" x14ac:dyDescent="0.45">
      <c r="A8" s="28" t="s">
        <v>10</v>
      </c>
      <c r="B8" s="28"/>
      <c r="C8" s="28"/>
      <c r="D8" s="28" t="s">
        <v>1</v>
      </c>
      <c r="E8" s="28" t="s">
        <v>2</v>
      </c>
      <c r="F8" s="28" t="s">
        <v>3</v>
      </c>
      <c r="G8" s="28" t="s">
        <v>4</v>
      </c>
    </row>
    <row r="9" spans="1:7" x14ac:dyDescent="0.45">
      <c r="A9" s="25" t="s">
        <v>11</v>
      </c>
      <c r="B9" s="25"/>
      <c r="C9" s="25"/>
      <c r="D9" s="25"/>
      <c r="E9" s="25"/>
      <c r="F9" s="25"/>
      <c r="G9" s="25"/>
    </row>
    <row r="10" spans="1:7" x14ac:dyDescent="0.45">
      <c r="A10" s="25"/>
      <c r="B10" s="25" t="s">
        <v>12</v>
      </c>
      <c r="C10" s="25"/>
      <c r="D10" s="25">
        <v>0.307</v>
      </c>
      <c r="E10" s="27" t="s">
        <v>115</v>
      </c>
      <c r="F10" s="39">
        <v>245</v>
      </c>
      <c r="G10" s="33">
        <f>D10*F10</f>
        <v>75.215000000000003</v>
      </c>
    </row>
    <row r="11" spans="1:7" x14ac:dyDescent="0.45">
      <c r="A11" s="25"/>
      <c r="B11" s="25" t="s">
        <v>13</v>
      </c>
      <c r="C11" s="25"/>
      <c r="D11" s="25">
        <v>1</v>
      </c>
      <c r="E11" s="27" t="s">
        <v>8</v>
      </c>
      <c r="F11" s="39">
        <f>42.98+40.18+40.95</f>
        <v>124.11</v>
      </c>
      <c r="G11" s="33">
        <f t="shared" ref="G11:G20" si="0">D11*F11</f>
        <v>124.11</v>
      </c>
    </row>
    <row r="12" spans="1:7" x14ac:dyDescent="0.45">
      <c r="A12" s="25"/>
      <c r="B12" s="25" t="s">
        <v>14</v>
      </c>
      <c r="C12" s="25"/>
      <c r="D12" s="25">
        <v>1</v>
      </c>
      <c r="E12" s="27" t="s">
        <v>8</v>
      </c>
      <c r="F12" s="39">
        <f>19.28+17.41+22.87</f>
        <v>59.56</v>
      </c>
      <c r="G12" s="33">
        <f t="shared" si="0"/>
        <v>59.56</v>
      </c>
    </row>
    <row r="13" spans="1:7" x14ac:dyDescent="0.45">
      <c r="A13" s="25"/>
      <c r="B13" s="25" t="s">
        <v>15</v>
      </c>
      <c r="C13" s="25"/>
      <c r="D13" s="25">
        <v>1</v>
      </c>
      <c r="E13" s="27" t="s">
        <v>8</v>
      </c>
      <c r="F13" s="39">
        <f>87.12+18.35</f>
        <v>105.47</v>
      </c>
      <c r="G13" s="33">
        <f t="shared" si="0"/>
        <v>105.47</v>
      </c>
    </row>
    <row r="14" spans="1:7" x14ac:dyDescent="0.45">
      <c r="A14" s="25"/>
      <c r="B14" s="25" t="s">
        <v>16</v>
      </c>
      <c r="C14" s="25"/>
      <c r="D14" s="25">
        <v>1</v>
      </c>
      <c r="E14" s="27" t="s">
        <v>8</v>
      </c>
      <c r="F14" s="39">
        <v>40.15</v>
      </c>
      <c r="G14" s="33">
        <f t="shared" si="0"/>
        <v>40.15</v>
      </c>
    </row>
    <row r="15" spans="1:7" x14ac:dyDescent="0.45">
      <c r="A15" s="25"/>
      <c r="B15" s="25" t="s">
        <v>17</v>
      </c>
      <c r="C15" s="25"/>
      <c r="D15" s="40">
        <v>6</v>
      </c>
      <c r="E15" s="27" t="s">
        <v>18</v>
      </c>
      <c r="F15" s="41">
        <v>1.5</v>
      </c>
      <c r="G15" s="33">
        <f>D15*F15</f>
        <v>9</v>
      </c>
    </row>
    <row r="16" spans="1:7" x14ac:dyDescent="0.45">
      <c r="A16" s="25"/>
      <c r="B16" s="25" t="s">
        <v>19</v>
      </c>
      <c r="C16" s="25"/>
      <c r="D16" s="42">
        <v>0.1</v>
      </c>
      <c r="E16" s="27" t="s">
        <v>20</v>
      </c>
      <c r="F16" s="39">
        <f>+G15</f>
        <v>9</v>
      </c>
      <c r="G16" s="33">
        <f t="shared" si="0"/>
        <v>0.9</v>
      </c>
    </row>
    <row r="17" spans="1:9" x14ac:dyDescent="0.45">
      <c r="A17" s="25"/>
      <c r="B17" s="25" t="s">
        <v>21</v>
      </c>
      <c r="C17" s="25"/>
      <c r="D17" s="25">
        <v>1</v>
      </c>
      <c r="E17" s="27" t="s">
        <v>8</v>
      </c>
      <c r="F17" s="39">
        <f>3.76+8.25+4.81+12.48+12.83</f>
        <v>42.13</v>
      </c>
      <c r="G17" s="33">
        <f t="shared" si="0"/>
        <v>42.13</v>
      </c>
    </row>
    <row r="18" spans="1:9" x14ac:dyDescent="0.45">
      <c r="A18" s="25"/>
      <c r="B18" s="25" t="s">
        <v>22</v>
      </c>
      <c r="C18" s="25"/>
      <c r="D18" s="40">
        <v>0</v>
      </c>
      <c r="E18" s="27" t="s">
        <v>23</v>
      </c>
      <c r="F18" s="41">
        <v>12</v>
      </c>
      <c r="G18" s="33">
        <f t="shared" si="0"/>
        <v>0</v>
      </c>
    </row>
    <row r="19" spans="1:9" x14ac:dyDescent="0.45">
      <c r="A19" s="25"/>
      <c r="B19" s="25" t="s">
        <v>24</v>
      </c>
      <c r="C19" s="25"/>
      <c r="D19" s="25">
        <v>1</v>
      </c>
      <c r="E19" s="27" t="s">
        <v>8</v>
      </c>
      <c r="F19" s="39">
        <v>0</v>
      </c>
      <c r="G19" s="33">
        <f t="shared" si="0"/>
        <v>0</v>
      </c>
    </row>
    <row r="20" spans="1:9" x14ac:dyDescent="0.45">
      <c r="A20" s="25"/>
      <c r="B20" s="25" t="s">
        <v>153</v>
      </c>
      <c r="C20" s="25"/>
      <c r="D20" s="25">
        <v>1</v>
      </c>
      <c r="E20" s="27" t="s">
        <v>8</v>
      </c>
      <c r="F20" s="39">
        <v>16.05</v>
      </c>
      <c r="G20" s="33">
        <f t="shared" si="0"/>
        <v>16.05</v>
      </c>
    </row>
    <row r="21" spans="1:9" ht="14.65" thickBot="1" x14ac:dyDescent="0.5">
      <c r="A21" s="25"/>
      <c r="B21" s="25" t="s">
        <v>26</v>
      </c>
      <c r="C21" s="25"/>
      <c r="D21" s="25"/>
      <c r="E21" s="25"/>
      <c r="F21" s="78">
        <f>+Assumptions!C3</f>
        <v>6.5000000000000002E-2</v>
      </c>
      <c r="G21" s="43">
        <f>+SUM(G10:G20)*F21/12*6</f>
        <v>15.359012499999999</v>
      </c>
      <c r="I21" s="5"/>
    </row>
    <row r="22" spans="1:9" x14ac:dyDescent="0.45">
      <c r="A22" s="25"/>
      <c r="B22" s="25"/>
      <c r="C22" s="25"/>
      <c r="D22" s="25"/>
      <c r="E22" s="25"/>
      <c r="F22" s="25"/>
      <c r="G22" s="33">
        <f>SUM(G10:G21)</f>
        <v>487.94401249999999</v>
      </c>
    </row>
    <row r="23" spans="1:9" x14ac:dyDescent="0.45">
      <c r="A23" s="25" t="s">
        <v>27</v>
      </c>
      <c r="B23" s="25"/>
      <c r="C23" s="25"/>
      <c r="D23" s="25"/>
      <c r="E23" s="25"/>
      <c r="F23" s="25"/>
      <c r="G23" s="25"/>
      <c r="I23" s="5"/>
    </row>
    <row r="24" spans="1:9" x14ac:dyDescent="0.45">
      <c r="A24" s="25"/>
      <c r="B24" s="25" t="s">
        <v>28</v>
      </c>
      <c r="C24" s="25"/>
      <c r="D24" s="25">
        <v>1</v>
      </c>
      <c r="E24" s="25" t="s">
        <v>8</v>
      </c>
      <c r="F24" s="39">
        <f>0.43*D3</f>
        <v>68.8</v>
      </c>
      <c r="G24" s="33">
        <f>+D24*F24</f>
        <v>68.8</v>
      </c>
    </row>
    <row r="25" spans="1:9" x14ac:dyDescent="0.45">
      <c r="A25" s="25"/>
      <c r="B25" s="25" t="s">
        <v>29</v>
      </c>
      <c r="C25" s="25"/>
      <c r="D25" s="25"/>
      <c r="E25" s="25"/>
      <c r="F25" s="44"/>
      <c r="G25" s="25"/>
    </row>
    <row r="26" spans="1:9" ht="14.65" thickBot="1" x14ac:dyDescent="0.5">
      <c r="A26" s="25"/>
      <c r="B26" s="25"/>
      <c r="C26" s="25" t="s">
        <v>30</v>
      </c>
      <c r="D26" s="25">
        <v>1</v>
      </c>
      <c r="E26" s="25" t="s">
        <v>8</v>
      </c>
      <c r="F26" s="39">
        <v>0</v>
      </c>
      <c r="G26" s="43">
        <f>+D26*F26</f>
        <v>0</v>
      </c>
    </row>
    <row r="27" spans="1:9" ht="14.65" thickBot="1" x14ac:dyDescent="0.5">
      <c r="A27" s="25"/>
      <c r="B27" s="25"/>
      <c r="C27" s="25"/>
      <c r="D27" s="25" t="s">
        <v>31</v>
      </c>
      <c r="E27" s="25"/>
      <c r="F27" s="44"/>
      <c r="G27" s="45">
        <f>+G24+G26</f>
        <v>68.8</v>
      </c>
    </row>
    <row r="28" spans="1:9" ht="14.65" thickTop="1" x14ac:dyDescent="0.45">
      <c r="A28" s="25"/>
      <c r="B28" s="25"/>
      <c r="C28" s="25"/>
      <c r="D28" s="25"/>
      <c r="E28" s="25"/>
      <c r="F28" s="44"/>
      <c r="G28" s="25"/>
    </row>
    <row r="29" spans="1:9" ht="14.65" thickBot="1" x14ac:dyDescent="0.5">
      <c r="A29" s="25" t="s">
        <v>32</v>
      </c>
      <c r="B29" s="25"/>
      <c r="C29" s="25"/>
      <c r="D29" s="25">
        <v>1</v>
      </c>
      <c r="E29" s="25" t="s">
        <v>8</v>
      </c>
      <c r="F29" s="39">
        <v>0</v>
      </c>
      <c r="G29" s="46">
        <f>+D29*F29</f>
        <v>0</v>
      </c>
    </row>
    <row r="30" spans="1:9" ht="14.65" thickTop="1" x14ac:dyDescent="0.45">
      <c r="A30" s="25"/>
      <c r="B30" s="25"/>
      <c r="C30" s="25"/>
      <c r="D30" s="25"/>
      <c r="E30" s="25"/>
      <c r="F30" s="25"/>
      <c r="G30" s="25"/>
    </row>
    <row r="31" spans="1:9" ht="14.65" thickBot="1" x14ac:dyDescent="0.5">
      <c r="A31" s="25" t="s">
        <v>33</v>
      </c>
      <c r="B31" s="25"/>
      <c r="C31" s="25"/>
      <c r="D31" s="25"/>
      <c r="E31" s="25"/>
      <c r="F31" s="25"/>
      <c r="G31" s="36">
        <f>+G22+G27+G29</f>
        <v>556.74401249999994</v>
      </c>
    </row>
    <row r="32" spans="1:9" ht="14.65" thickTop="1" x14ac:dyDescent="0.45">
      <c r="A32" s="25"/>
      <c r="B32" s="25"/>
      <c r="C32" s="25"/>
      <c r="D32" s="25"/>
      <c r="E32" s="25"/>
      <c r="F32" s="25"/>
      <c r="G32" s="25"/>
    </row>
    <row r="33" spans="1:7" x14ac:dyDescent="0.45">
      <c r="A33" s="25" t="s">
        <v>34</v>
      </c>
      <c r="B33" s="25"/>
      <c r="C33" s="25"/>
      <c r="D33" s="25"/>
      <c r="E33" s="25"/>
      <c r="F33" s="25"/>
      <c r="G33" s="33">
        <f>+G7-G31</f>
        <v>-12.74401249999994</v>
      </c>
    </row>
    <row r="34" spans="1:7" x14ac:dyDescent="0.45">
      <c r="A34" s="25"/>
      <c r="B34" s="25" t="s">
        <v>35</v>
      </c>
      <c r="C34" s="25"/>
      <c r="D34" s="25"/>
      <c r="E34" s="25" t="s">
        <v>6</v>
      </c>
      <c r="F34" s="47">
        <f>IF(D3=0,"n/a",(G31-G4-G5-G6)/D3)</f>
        <v>3.4796500781249997</v>
      </c>
      <c r="G34" s="25"/>
    </row>
    <row r="35" spans="1:7" x14ac:dyDescent="0.45">
      <c r="A35" s="25"/>
      <c r="B35" s="25"/>
      <c r="C35" s="25"/>
      <c r="D35" s="25"/>
      <c r="E35" s="25"/>
      <c r="F35" s="25"/>
      <c r="G35" s="25"/>
    </row>
    <row r="36" spans="1:7" x14ac:dyDescent="0.45">
      <c r="A36" s="28" t="s">
        <v>36</v>
      </c>
      <c r="B36" s="28"/>
      <c r="C36" s="28"/>
      <c r="D36" s="28" t="s">
        <v>1</v>
      </c>
      <c r="E36" s="28" t="s">
        <v>2</v>
      </c>
      <c r="F36" s="28" t="s">
        <v>3</v>
      </c>
      <c r="G36" s="28" t="s">
        <v>4</v>
      </c>
    </row>
    <row r="37" spans="1:7" x14ac:dyDescent="0.45">
      <c r="A37" s="25"/>
      <c r="B37" s="25" t="s">
        <v>37</v>
      </c>
      <c r="C37" s="25"/>
      <c r="D37" s="25">
        <v>1</v>
      </c>
      <c r="E37" s="25" t="s">
        <v>8</v>
      </c>
      <c r="F37" s="39">
        <f>3.95+47.34+4.77+15.78</f>
        <v>71.84</v>
      </c>
      <c r="G37" s="33">
        <f>D37*F37</f>
        <v>71.84</v>
      </c>
    </row>
    <row r="38" spans="1:7" x14ac:dyDescent="0.45">
      <c r="A38" s="25"/>
      <c r="B38" s="25" t="s">
        <v>38</v>
      </c>
      <c r="C38" s="25"/>
      <c r="D38" s="25">
        <v>1</v>
      </c>
      <c r="E38" s="25" t="s">
        <v>8</v>
      </c>
      <c r="F38" s="39">
        <f>+'[1]Wheat Dual A EGP'!F38</f>
        <v>0</v>
      </c>
      <c r="G38" s="33">
        <f t="shared" ref="G38:G45" si="1">D38*F38</f>
        <v>0</v>
      </c>
    </row>
    <row r="39" spans="1:7" x14ac:dyDescent="0.45">
      <c r="A39" s="25"/>
      <c r="B39" s="25" t="s">
        <v>39</v>
      </c>
      <c r="C39" s="25"/>
      <c r="D39" s="25">
        <v>1</v>
      </c>
      <c r="E39" s="25" t="s">
        <v>8</v>
      </c>
      <c r="F39" s="39">
        <f>+'[1]Wheat Dual A EGP'!F39</f>
        <v>0</v>
      </c>
      <c r="G39" s="33">
        <f t="shared" si="1"/>
        <v>0</v>
      </c>
    </row>
    <row r="40" spans="1:7" x14ac:dyDescent="0.45">
      <c r="A40" s="25"/>
      <c r="B40" s="25" t="s">
        <v>40</v>
      </c>
      <c r="C40" s="25"/>
      <c r="D40" s="25">
        <v>1</v>
      </c>
      <c r="E40" s="25" t="s">
        <v>8</v>
      </c>
      <c r="F40" s="39">
        <v>90</v>
      </c>
      <c r="G40" s="33">
        <f t="shared" si="1"/>
        <v>90</v>
      </c>
    </row>
    <row r="41" spans="1:7" x14ac:dyDescent="0.45">
      <c r="A41" s="25"/>
      <c r="B41" s="25" t="s">
        <v>41</v>
      </c>
      <c r="C41" s="25"/>
      <c r="D41" s="25">
        <v>1</v>
      </c>
      <c r="E41" s="25" t="s">
        <v>8</v>
      </c>
      <c r="F41" s="39">
        <f>+'[1]Wheat Dual A EGP'!F41</f>
        <v>0</v>
      </c>
      <c r="G41" s="33">
        <f t="shared" si="1"/>
        <v>0</v>
      </c>
    </row>
    <row r="42" spans="1:7" x14ac:dyDescent="0.45">
      <c r="A42" s="25"/>
      <c r="B42" s="25" t="s">
        <v>142</v>
      </c>
      <c r="C42" s="25"/>
      <c r="D42" s="25">
        <v>1</v>
      </c>
      <c r="E42" s="25" t="s">
        <v>8</v>
      </c>
      <c r="F42" s="39">
        <f>1.7+35.73+2.32+4.22</f>
        <v>43.97</v>
      </c>
      <c r="G42" s="33">
        <f t="shared" si="1"/>
        <v>43.97</v>
      </c>
    </row>
    <row r="43" spans="1:7" x14ac:dyDescent="0.45">
      <c r="A43" s="25"/>
      <c r="B43" s="34" t="s">
        <v>43</v>
      </c>
      <c r="C43" s="34"/>
      <c r="D43" s="34">
        <v>1</v>
      </c>
      <c r="E43" s="34" t="s">
        <v>8</v>
      </c>
      <c r="F43" s="39">
        <f>+'[1]Wheat Dual A EGP'!F43</f>
        <v>0</v>
      </c>
      <c r="G43" s="33">
        <f t="shared" si="1"/>
        <v>0</v>
      </c>
    </row>
    <row r="44" spans="1:7" x14ac:dyDescent="0.45">
      <c r="A44" s="25"/>
      <c r="B44" s="34" t="s">
        <v>43</v>
      </c>
      <c r="C44" s="34"/>
      <c r="D44" s="34">
        <v>1</v>
      </c>
      <c r="E44" s="34" t="s">
        <v>8</v>
      </c>
      <c r="F44" s="39">
        <f>+'[1]Wheat Dual A EGP'!F44</f>
        <v>0</v>
      </c>
      <c r="G44" s="33">
        <f t="shared" si="1"/>
        <v>0</v>
      </c>
    </row>
    <row r="45" spans="1:7" ht="14.65" thickBot="1" x14ac:dyDescent="0.5">
      <c r="A45" s="25"/>
      <c r="B45" s="34" t="s">
        <v>43</v>
      </c>
      <c r="C45" s="34"/>
      <c r="D45" s="34">
        <v>1</v>
      </c>
      <c r="E45" s="34" t="s">
        <v>8</v>
      </c>
      <c r="F45" s="39">
        <f>+'[1]Wheat Dual A EGP'!F45</f>
        <v>0</v>
      </c>
      <c r="G45" s="36">
        <f t="shared" si="1"/>
        <v>0</v>
      </c>
    </row>
    <row r="46" spans="1:7" ht="14.65" thickTop="1" x14ac:dyDescent="0.45">
      <c r="A46" s="25"/>
      <c r="B46" s="25"/>
      <c r="C46" s="25"/>
      <c r="D46" s="25"/>
      <c r="E46" s="25"/>
      <c r="F46" s="25"/>
      <c r="G46" s="25"/>
    </row>
    <row r="47" spans="1:7" ht="14.65" thickBot="1" x14ac:dyDescent="0.5">
      <c r="A47" s="25" t="s">
        <v>44</v>
      </c>
      <c r="B47" s="25"/>
      <c r="C47" s="25"/>
      <c r="D47" s="25"/>
      <c r="E47" s="25"/>
      <c r="F47" s="25"/>
      <c r="G47" s="36">
        <f>SUM(G37:G45)</f>
        <v>205.81</v>
      </c>
    </row>
    <row r="48" spans="1:7" ht="14.65" thickTop="1" x14ac:dyDescent="0.45">
      <c r="A48" s="25"/>
      <c r="B48" s="25"/>
      <c r="C48" s="25"/>
      <c r="D48" s="25"/>
      <c r="E48" s="25"/>
      <c r="F48" s="25"/>
      <c r="G48" s="25"/>
    </row>
    <row r="49" spans="1:7" ht="14.65" thickBot="1" x14ac:dyDescent="0.5">
      <c r="A49" s="25" t="s">
        <v>45</v>
      </c>
      <c r="B49" s="25"/>
      <c r="C49" s="25"/>
      <c r="D49" s="25"/>
      <c r="E49" s="25"/>
      <c r="F49" s="25"/>
      <c r="G49" s="36">
        <f>+G31+G47</f>
        <v>762.5540125</v>
      </c>
    </row>
    <row r="50" spans="1:7" ht="14.65" thickTop="1" x14ac:dyDescent="0.45">
      <c r="A50" s="25"/>
      <c r="B50" s="25"/>
      <c r="C50" s="25"/>
      <c r="D50" s="25"/>
      <c r="E50" s="25"/>
      <c r="F50" s="25"/>
      <c r="G50" s="25"/>
    </row>
    <row r="51" spans="1:7" x14ac:dyDescent="0.45">
      <c r="A51" s="25" t="s">
        <v>46</v>
      </c>
      <c r="B51" s="25"/>
      <c r="C51" s="25"/>
      <c r="D51" s="25"/>
      <c r="E51" s="25"/>
      <c r="F51" s="25"/>
      <c r="G51" s="33">
        <f>+G7-G49</f>
        <v>-218.5540125</v>
      </c>
    </row>
    <row r="52" spans="1:7" ht="14.65" thickBot="1" x14ac:dyDescent="0.5">
      <c r="A52" s="48" t="s">
        <v>47</v>
      </c>
      <c r="B52" s="48"/>
      <c r="C52" s="48"/>
      <c r="D52" s="48"/>
      <c r="E52" s="48" t="s">
        <v>6</v>
      </c>
      <c r="F52" s="49">
        <f>IF(D3=0,"n/a",(G49-G4-G5-G6)/D3)</f>
        <v>4.7659625781250003</v>
      </c>
      <c r="G52" s="48"/>
    </row>
    <row r="53" spans="1:7" ht="14.65" thickTop="1" x14ac:dyDescent="0.4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F15F0-F6AF-46DE-B1E1-A2DC431D870D}">
  <dimension ref="B1:AB51"/>
  <sheetViews>
    <sheetView topLeftCell="A8" zoomScale="110" zoomScaleNormal="110" workbookViewId="0">
      <selection activeCell="C15" sqref="C15"/>
    </sheetView>
  </sheetViews>
  <sheetFormatPr defaultColWidth="8.86328125" defaultRowHeight="14.25" x14ac:dyDescent="0.45"/>
  <cols>
    <col min="1" max="1" width="4.1328125" style="1" customWidth="1"/>
    <col min="2" max="7" width="7.796875" style="1" customWidth="1"/>
    <col min="8" max="8" width="3.59765625" style="1" customWidth="1"/>
    <col min="9" max="14" width="8" style="1" customWidth="1"/>
    <col min="15" max="15" width="3.6640625" style="1" hidden="1" customWidth="1"/>
    <col min="16" max="21" width="8" style="1" hidden="1" customWidth="1"/>
    <col min="22" max="22" width="3.53125" style="1" customWidth="1"/>
    <col min="23" max="28" width="8" style="1" customWidth="1"/>
    <col min="29" max="16384" width="8.86328125" style="1"/>
  </cols>
  <sheetData>
    <row r="1" spans="2:28" ht="4.9000000000000004" customHeight="1" thickBot="1" x14ac:dyDescent="0.5"/>
    <row r="2" spans="2:28" x14ac:dyDescent="0.45">
      <c r="B2" s="146" t="s">
        <v>108</v>
      </c>
      <c r="C2" s="147"/>
      <c r="D2" s="147"/>
      <c r="E2" s="147"/>
      <c r="F2" s="147"/>
      <c r="G2" s="148"/>
      <c r="I2" s="146" t="s">
        <v>98</v>
      </c>
      <c r="J2" s="147"/>
      <c r="K2" s="147"/>
      <c r="L2" s="147"/>
      <c r="M2" s="147"/>
      <c r="N2" s="148"/>
      <c r="P2" s="146" t="s">
        <v>154</v>
      </c>
      <c r="Q2" s="147"/>
      <c r="R2" s="147"/>
      <c r="S2" s="147"/>
      <c r="T2" s="147"/>
      <c r="U2" s="148"/>
      <c r="W2" s="146" t="s">
        <v>156</v>
      </c>
      <c r="X2" s="147"/>
      <c r="Y2" s="147"/>
      <c r="Z2" s="147"/>
      <c r="AA2" s="147"/>
      <c r="AB2" s="148"/>
    </row>
    <row r="3" spans="2:28" x14ac:dyDescent="0.45">
      <c r="B3" s="14" t="s">
        <v>106</v>
      </c>
      <c r="C3" s="18"/>
      <c r="D3" s="18"/>
      <c r="E3" s="18"/>
      <c r="F3" s="18"/>
      <c r="G3" s="59">
        <f>Cotton!D3</f>
        <v>400</v>
      </c>
      <c r="I3" s="14" t="s">
        <v>106</v>
      </c>
      <c r="J3" s="18"/>
      <c r="K3" s="18"/>
      <c r="L3" s="18"/>
      <c r="M3" s="18"/>
      <c r="N3" s="59">
        <f>'Irrigated Cotton'!D3</f>
        <v>1000</v>
      </c>
      <c r="P3" s="14" t="s">
        <v>155</v>
      </c>
      <c r="Q3" s="18"/>
      <c r="R3" s="18"/>
      <c r="S3" s="18"/>
      <c r="T3" s="18"/>
      <c r="U3" s="59">
        <f>+'Corn Irrigated'!D3</f>
        <v>160</v>
      </c>
      <c r="W3" s="14" t="s">
        <v>157</v>
      </c>
      <c r="X3" s="18"/>
      <c r="Y3" s="18"/>
      <c r="Z3" s="18"/>
      <c r="AA3" s="18"/>
      <c r="AB3" s="59">
        <f>+Sorghum!D3</f>
        <v>25</v>
      </c>
    </row>
    <row r="4" spans="2:28" x14ac:dyDescent="0.45">
      <c r="B4" s="14" t="s">
        <v>107</v>
      </c>
      <c r="C4" s="18"/>
      <c r="D4" s="18"/>
      <c r="E4" s="18"/>
      <c r="F4" s="18"/>
      <c r="G4" s="71">
        <f>Cotton!D4</f>
        <v>0.3</v>
      </c>
      <c r="H4" s="67"/>
      <c r="I4" s="14" t="s">
        <v>107</v>
      </c>
      <c r="J4" s="18"/>
      <c r="K4" s="18"/>
      <c r="L4" s="18"/>
      <c r="M4" s="18"/>
      <c r="N4" s="71">
        <f>'Irrigated Cotton'!D4</f>
        <v>0.75</v>
      </c>
      <c r="P4" s="14"/>
      <c r="Q4" s="18"/>
      <c r="R4" s="18"/>
      <c r="S4" s="18"/>
      <c r="T4" s="18"/>
      <c r="U4" s="71"/>
      <c r="W4" s="14"/>
      <c r="X4" s="18"/>
      <c r="Y4" s="18"/>
      <c r="Z4" s="18"/>
      <c r="AA4" s="18"/>
      <c r="AB4" s="71"/>
    </row>
    <row r="5" spans="2:28" x14ac:dyDescent="0.45">
      <c r="B5" s="14" t="s">
        <v>139</v>
      </c>
      <c r="C5" s="18"/>
      <c r="D5" s="18"/>
      <c r="E5" s="18"/>
      <c r="F5" s="18"/>
      <c r="G5" s="53">
        <f>Cotton!F3</f>
        <v>0.52</v>
      </c>
      <c r="H5" s="67"/>
      <c r="I5" s="14" t="s">
        <v>139</v>
      </c>
      <c r="J5" s="18"/>
      <c r="K5" s="18"/>
      <c r="L5" s="18"/>
      <c r="M5" s="18"/>
      <c r="N5" s="53">
        <f>'Irrigated Cotton'!F3</f>
        <v>0.52</v>
      </c>
      <c r="P5" s="14" t="s">
        <v>158</v>
      </c>
      <c r="Q5" s="18"/>
      <c r="R5" s="18"/>
      <c r="S5" s="18"/>
      <c r="T5" s="18"/>
      <c r="U5" s="73">
        <f>+'Corn Irrigated'!F3</f>
        <v>3.4</v>
      </c>
      <c r="W5" s="14" t="s">
        <v>159</v>
      </c>
      <c r="X5" s="18"/>
      <c r="Y5" s="18"/>
      <c r="Z5" s="18"/>
      <c r="AA5" s="18"/>
      <c r="AB5" s="73">
        <f>+Sorghum!F3</f>
        <v>6</v>
      </c>
    </row>
    <row r="6" spans="2:28" x14ac:dyDescent="0.45">
      <c r="B6" s="14" t="s">
        <v>140</v>
      </c>
      <c r="C6" s="18"/>
      <c r="D6" s="18"/>
      <c r="E6" s="18"/>
      <c r="F6" s="18"/>
      <c r="G6" s="79">
        <f>Cotton!F4</f>
        <v>180</v>
      </c>
      <c r="I6" s="14" t="s">
        <v>140</v>
      </c>
      <c r="J6" s="18"/>
      <c r="K6" s="18"/>
      <c r="L6" s="18"/>
      <c r="M6" s="18"/>
      <c r="N6" s="79">
        <f>'Irrigated Cotton'!F4</f>
        <v>180</v>
      </c>
      <c r="P6" s="14"/>
      <c r="Q6" s="18"/>
      <c r="R6" s="18"/>
      <c r="S6" s="18"/>
      <c r="T6" s="18"/>
      <c r="U6" s="79"/>
      <c r="W6" s="14"/>
      <c r="X6" s="18"/>
      <c r="Y6" s="18"/>
      <c r="Z6" s="18"/>
      <c r="AA6" s="18"/>
      <c r="AB6" s="79"/>
    </row>
    <row r="7" spans="2:28" x14ac:dyDescent="0.45">
      <c r="B7" s="14" t="s">
        <v>64</v>
      </c>
      <c r="C7" s="18"/>
      <c r="D7" s="18"/>
      <c r="E7" s="18"/>
      <c r="F7" s="18"/>
      <c r="G7" s="124">
        <v>1</v>
      </c>
      <c r="I7" s="14" t="s">
        <v>64</v>
      </c>
      <c r="J7" s="18"/>
      <c r="K7" s="18"/>
      <c r="L7" s="18"/>
      <c r="M7" s="18"/>
      <c r="N7" s="124">
        <v>1</v>
      </c>
      <c r="P7" s="14" t="s">
        <v>64</v>
      </c>
      <c r="Q7" s="18"/>
      <c r="R7" s="18"/>
      <c r="S7" s="18"/>
      <c r="T7" s="18"/>
      <c r="U7" s="124">
        <v>1</v>
      </c>
      <c r="W7" s="14" t="s">
        <v>64</v>
      </c>
      <c r="X7" s="18"/>
      <c r="Y7" s="18"/>
      <c r="Z7" s="18"/>
      <c r="AA7" s="18"/>
      <c r="AB7" s="124">
        <v>1</v>
      </c>
    </row>
    <row r="8" spans="2:28" ht="3.75" customHeight="1" x14ac:dyDescent="0.45">
      <c r="B8" s="14"/>
      <c r="C8" s="18"/>
      <c r="D8" s="18"/>
      <c r="E8" s="18"/>
      <c r="F8" s="18"/>
      <c r="G8" s="52"/>
      <c r="I8" s="14"/>
      <c r="J8" s="18"/>
      <c r="K8" s="18"/>
      <c r="L8" s="18"/>
      <c r="M8" s="18"/>
      <c r="N8" s="52"/>
      <c r="P8" s="14"/>
      <c r="Q8" s="18"/>
      <c r="R8" s="18"/>
      <c r="S8" s="18"/>
      <c r="T8" s="18"/>
      <c r="U8" s="52"/>
      <c r="W8" s="14"/>
      <c r="X8" s="18"/>
      <c r="Y8" s="18"/>
      <c r="Z8" s="18"/>
      <c r="AA8" s="18"/>
      <c r="AB8" s="52"/>
    </row>
    <row r="9" spans="2:28" x14ac:dyDescent="0.45">
      <c r="B9" s="55" t="s">
        <v>73</v>
      </c>
      <c r="C9" s="80"/>
      <c r="D9" s="80"/>
      <c r="E9" s="80"/>
      <c r="F9" s="80"/>
      <c r="G9" s="82">
        <f>G5*G3+G6*G4</f>
        <v>262</v>
      </c>
      <c r="I9" s="55" t="s">
        <v>73</v>
      </c>
      <c r="J9" s="80"/>
      <c r="K9" s="80"/>
      <c r="L9" s="80"/>
      <c r="M9" s="80"/>
      <c r="N9" s="82">
        <f>N5*N3+N6*N4</f>
        <v>655</v>
      </c>
      <c r="P9" s="55" t="s">
        <v>73</v>
      </c>
      <c r="Q9" s="80"/>
      <c r="R9" s="80"/>
      <c r="S9" s="80"/>
      <c r="T9" s="80"/>
      <c r="U9" s="82">
        <f>U5*U3</f>
        <v>544</v>
      </c>
      <c r="W9" s="55" t="s">
        <v>73</v>
      </c>
      <c r="X9" s="80"/>
      <c r="Y9" s="80"/>
      <c r="Z9" s="80"/>
      <c r="AA9" s="80"/>
      <c r="AB9" s="82">
        <f>AB5*AB3+AB6*AB4</f>
        <v>150</v>
      </c>
    </row>
    <row r="10" spans="2:28" ht="5.25" customHeight="1" x14ac:dyDescent="0.45">
      <c r="B10" s="14"/>
      <c r="C10" s="18"/>
      <c r="D10" s="18"/>
      <c r="E10" s="18"/>
      <c r="F10" s="18"/>
      <c r="G10" s="79"/>
      <c r="I10" s="14"/>
      <c r="J10" s="18"/>
      <c r="K10" s="18"/>
      <c r="L10" s="18"/>
      <c r="M10" s="18"/>
      <c r="N10" s="79"/>
      <c r="P10" s="14"/>
      <c r="Q10" s="18"/>
      <c r="R10" s="18"/>
      <c r="S10" s="18"/>
      <c r="T10" s="18"/>
      <c r="U10" s="79"/>
      <c r="W10" s="14"/>
      <c r="X10" s="18"/>
      <c r="Y10" s="18"/>
      <c r="Z10" s="18"/>
      <c r="AA10" s="18"/>
      <c r="AB10" s="79"/>
    </row>
    <row r="11" spans="2:28" x14ac:dyDescent="0.45">
      <c r="B11" s="14" t="s">
        <v>11</v>
      </c>
      <c r="C11" s="18"/>
      <c r="D11" s="18"/>
      <c r="E11" s="18"/>
      <c r="F11" s="18"/>
      <c r="G11" s="83">
        <f>Cotton!G22</f>
        <v>227.28381199999998</v>
      </c>
      <c r="I11" s="14" t="s">
        <v>11</v>
      </c>
      <c r="J11" s="18"/>
      <c r="K11" s="18"/>
      <c r="L11" s="18"/>
      <c r="M11" s="18"/>
      <c r="N11" s="83">
        <f>'Irrigated Cotton'!G22</f>
        <v>408.39587599999999</v>
      </c>
      <c r="P11" s="14" t="s">
        <v>11</v>
      </c>
      <c r="Q11" s="18"/>
      <c r="R11" s="18"/>
      <c r="S11" s="18"/>
      <c r="T11" s="18"/>
      <c r="U11" s="83">
        <f>+'Corn Irrigated'!G22</f>
        <v>487.94401249999999</v>
      </c>
      <c r="W11" s="14" t="s">
        <v>11</v>
      </c>
      <c r="X11" s="18"/>
      <c r="Y11" s="18"/>
      <c r="Z11" s="18"/>
      <c r="AA11" s="18"/>
      <c r="AB11" s="83">
        <f>+Sorghum!G22</f>
        <v>83.120380000000011</v>
      </c>
    </row>
    <row r="12" spans="2:28" x14ac:dyDescent="0.45">
      <c r="B12" s="14" t="s">
        <v>109</v>
      </c>
      <c r="C12" s="18"/>
      <c r="D12" s="18"/>
      <c r="E12" s="18"/>
      <c r="F12" s="18"/>
      <c r="G12" s="83">
        <f>Cotton!G27</f>
        <v>102</v>
      </c>
      <c r="I12" s="14" t="s">
        <v>109</v>
      </c>
      <c r="J12" s="18"/>
      <c r="K12" s="18"/>
      <c r="L12" s="18"/>
      <c r="M12" s="18"/>
      <c r="N12" s="83">
        <f>'Irrigated Cotton'!G27</f>
        <v>265</v>
      </c>
      <c r="P12" s="14" t="s">
        <v>164</v>
      </c>
      <c r="Q12" s="18"/>
      <c r="R12" s="18"/>
      <c r="S12" s="18"/>
      <c r="T12" s="18"/>
      <c r="U12" s="83">
        <f>+'Corn Irrigated'!G27</f>
        <v>68.8</v>
      </c>
      <c r="W12" s="14" t="s">
        <v>164</v>
      </c>
      <c r="X12" s="18"/>
      <c r="Y12" s="18"/>
      <c r="Z12" s="18"/>
      <c r="AA12" s="18"/>
      <c r="AB12" s="83">
        <f>+Sorghum!G27</f>
        <v>36</v>
      </c>
    </row>
    <row r="13" spans="2:28" x14ac:dyDescent="0.45">
      <c r="B13" s="54" t="s">
        <v>33</v>
      </c>
      <c r="C13" s="63"/>
      <c r="D13" s="63"/>
      <c r="E13" s="63"/>
      <c r="F13" s="63"/>
      <c r="G13" s="84">
        <f>+G11+G12</f>
        <v>329.28381200000001</v>
      </c>
      <c r="I13" s="54" t="s">
        <v>33</v>
      </c>
      <c r="J13" s="63"/>
      <c r="K13" s="63"/>
      <c r="L13" s="63"/>
      <c r="M13" s="63"/>
      <c r="N13" s="84">
        <f>+N11+N12</f>
        <v>673.39587600000004</v>
      </c>
      <c r="P13" s="54" t="s">
        <v>33</v>
      </c>
      <c r="Q13" s="63"/>
      <c r="R13" s="63"/>
      <c r="S13" s="63"/>
      <c r="T13" s="63"/>
      <c r="U13" s="84">
        <f>+U11+U12</f>
        <v>556.74401249999994</v>
      </c>
      <c r="W13" s="54" t="s">
        <v>33</v>
      </c>
      <c r="X13" s="63"/>
      <c r="Y13" s="63"/>
      <c r="Z13" s="63"/>
      <c r="AA13" s="63"/>
      <c r="AB13" s="84">
        <f>+AB11+AB12</f>
        <v>119.12038000000001</v>
      </c>
    </row>
    <row r="14" spans="2:28" ht="3.4" customHeight="1" x14ac:dyDescent="0.45">
      <c r="B14" s="14"/>
      <c r="C14" s="18"/>
      <c r="D14" s="18"/>
      <c r="E14" s="18"/>
      <c r="F14" s="18"/>
      <c r="G14" s="15"/>
      <c r="I14" s="14"/>
      <c r="J14" s="18"/>
      <c r="K14" s="18"/>
      <c r="L14" s="18"/>
      <c r="M14" s="18"/>
      <c r="N14" s="15"/>
      <c r="P14" s="14"/>
      <c r="Q14" s="18"/>
      <c r="R14" s="18"/>
      <c r="S14" s="18"/>
      <c r="T14" s="18"/>
      <c r="U14" s="15"/>
      <c r="W14" s="14"/>
      <c r="X14" s="18"/>
      <c r="Y14" s="18"/>
      <c r="Z14" s="18"/>
      <c r="AA14" s="18"/>
      <c r="AB14" s="15"/>
    </row>
    <row r="15" spans="2:28" x14ac:dyDescent="0.45">
      <c r="B15" s="55" t="s">
        <v>75</v>
      </c>
      <c r="C15" s="80"/>
      <c r="D15" s="80"/>
      <c r="E15" s="80"/>
      <c r="F15" s="80"/>
      <c r="G15" s="56">
        <f>+G9-G13</f>
        <v>-67.283812000000012</v>
      </c>
      <c r="I15" s="55" t="s">
        <v>75</v>
      </c>
      <c r="J15" s="80"/>
      <c r="K15" s="80"/>
      <c r="L15" s="80"/>
      <c r="M15" s="80"/>
      <c r="N15" s="56">
        <f>+N9-N13</f>
        <v>-18.395876000000044</v>
      </c>
      <c r="P15" s="55" t="s">
        <v>75</v>
      </c>
      <c r="Q15" s="80"/>
      <c r="R15" s="80"/>
      <c r="S15" s="80"/>
      <c r="T15" s="80"/>
      <c r="U15" s="56">
        <f>+U9-U13</f>
        <v>-12.74401249999994</v>
      </c>
      <c r="W15" s="55" t="s">
        <v>75</v>
      </c>
      <c r="X15" s="80"/>
      <c r="Y15" s="80"/>
      <c r="Z15" s="80"/>
      <c r="AA15" s="80"/>
      <c r="AB15" s="56">
        <f>+AB9-AB13</f>
        <v>30.879619999999989</v>
      </c>
    </row>
    <row r="16" spans="2:28" ht="3.4" customHeight="1" x14ac:dyDescent="0.45">
      <c r="B16" s="14"/>
      <c r="C16" s="18"/>
      <c r="D16" s="18"/>
      <c r="E16" s="18"/>
      <c r="F16" s="18"/>
      <c r="G16" s="15"/>
      <c r="I16" s="14"/>
      <c r="J16" s="18"/>
      <c r="K16" s="18"/>
      <c r="L16" s="18"/>
      <c r="M16" s="18"/>
      <c r="N16" s="15"/>
      <c r="P16" s="14"/>
      <c r="Q16" s="18"/>
      <c r="R16" s="18"/>
      <c r="S16" s="18"/>
      <c r="T16" s="18"/>
      <c r="U16" s="15"/>
      <c r="W16" s="14"/>
      <c r="X16" s="18"/>
      <c r="Y16" s="18"/>
      <c r="Z16" s="18"/>
      <c r="AA16" s="18"/>
      <c r="AB16" s="15"/>
    </row>
    <row r="17" spans="2:28" x14ac:dyDescent="0.45">
      <c r="B17" s="14" t="s">
        <v>63</v>
      </c>
      <c r="C17" s="18"/>
      <c r="D17" s="18"/>
      <c r="E17" s="18"/>
      <c r="F17" s="18"/>
      <c r="G17" s="53">
        <f>Cotton!G47</f>
        <v>80.73</v>
      </c>
      <c r="I17" s="14" t="s">
        <v>63</v>
      </c>
      <c r="J17" s="18"/>
      <c r="K17" s="18"/>
      <c r="L17" s="18"/>
      <c r="M17" s="18"/>
      <c r="N17" s="53">
        <f>'Irrigated Cotton'!G47</f>
        <v>176.57</v>
      </c>
      <c r="P17" s="14" t="s">
        <v>63</v>
      </c>
      <c r="Q17" s="18"/>
      <c r="R17" s="18"/>
      <c r="S17" s="18"/>
      <c r="T17" s="18"/>
      <c r="U17" s="53">
        <f>+'Corn Irrigated'!G47</f>
        <v>205.81</v>
      </c>
      <c r="W17" s="14" t="s">
        <v>63</v>
      </c>
      <c r="X17" s="18"/>
      <c r="Y17" s="18"/>
      <c r="Z17" s="18"/>
      <c r="AA17" s="18"/>
      <c r="AB17" s="53">
        <f>+Sorghum!G47</f>
        <v>69.14</v>
      </c>
    </row>
    <row r="18" spans="2:28" ht="1.5" customHeight="1" x14ac:dyDescent="0.45">
      <c r="B18" s="14"/>
      <c r="C18" s="18"/>
      <c r="D18" s="18"/>
      <c r="E18" s="18"/>
      <c r="F18" s="18"/>
      <c r="G18" s="15"/>
      <c r="I18" s="14"/>
      <c r="J18" s="18"/>
      <c r="K18" s="18"/>
      <c r="L18" s="18"/>
      <c r="M18" s="18"/>
      <c r="N18" s="15"/>
      <c r="P18" s="14"/>
      <c r="Q18" s="18"/>
      <c r="R18" s="18"/>
      <c r="S18" s="18"/>
      <c r="T18" s="18"/>
      <c r="U18" s="15"/>
      <c r="W18" s="14"/>
      <c r="X18" s="18"/>
      <c r="Y18" s="18"/>
      <c r="Z18" s="18"/>
      <c r="AA18" s="18"/>
      <c r="AB18" s="15"/>
    </row>
    <row r="19" spans="2:28" x14ac:dyDescent="0.45">
      <c r="B19" s="55" t="s">
        <v>74</v>
      </c>
      <c r="C19" s="80"/>
      <c r="D19" s="80"/>
      <c r="E19" s="80"/>
      <c r="F19" s="80"/>
      <c r="G19" s="105">
        <f>+G15-G17</f>
        <v>-148.01381200000003</v>
      </c>
      <c r="I19" s="55" t="s">
        <v>74</v>
      </c>
      <c r="J19" s="80"/>
      <c r="K19" s="80"/>
      <c r="L19" s="80"/>
      <c r="M19" s="80"/>
      <c r="N19" s="105">
        <f>+N15-N17</f>
        <v>-194.96587600000004</v>
      </c>
      <c r="P19" s="55" t="s">
        <v>74</v>
      </c>
      <c r="Q19" s="80"/>
      <c r="R19" s="80"/>
      <c r="S19" s="80"/>
      <c r="T19" s="80"/>
      <c r="U19" s="105">
        <f>+U15-U17</f>
        <v>-218.55401249999994</v>
      </c>
      <c r="W19" s="55" t="s">
        <v>74</v>
      </c>
      <c r="X19" s="80"/>
      <c r="Y19" s="80"/>
      <c r="Z19" s="80"/>
      <c r="AA19" s="80"/>
      <c r="AB19" s="105">
        <f>+AB15-AB17</f>
        <v>-38.260380000000012</v>
      </c>
    </row>
    <row r="20" spans="2:28" ht="5.25" customHeight="1" thickBot="1" x14ac:dyDescent="0.5"/>
    <row r="21" spans="2:28" x14ac:dyDescent="0.45">
      <c r="B21" s="13" t="s">
        <v>68</v>
      </c>
      <c r="C21" s="17"/>
      <c r="D21" s="17"/>
      <c r="E21" s="17"/>
      <c r="F21" s="17"/>
      <c r="G21" s="60">
        <f>+(G13-G4*G6)/G3</f>
        <v>0.68820953000000007</v>
      </c>
      <c r="I21" s="13" t="s">
        <v>68</v>
      </c>
      <c r="J21" s="17"/>
      <c r="K21" s="17"/>
      <c r="L21" s="17"/>
      <c r="M21" s="17"/>
      <c r="N21" s="60">
        <f>+(N13-N4*N6)/N3</f>
        <v>0.53839587600000005</v>
      </c>
      <c r="P21" s="13" t="s">
        <v>68</v>
      </c>
      <c r="Q21" s="17"/>
      <c r="R21" s="17"/>
      <c r="S21" s="17"/>
      <c r="T21" s="17"/>
      <c r="U21" s="60">
        <f>+(U13)/U3</f>
        <v>3.4796500781249997</v>
      </c>
      <c r="W21" s="13" t="s">
        <v>68</v>
      </c>
      <c r="X21" s="17"/>
      <c r="Y21" s="17"/>
      <c r="Z21" s="17"/>
      <c r="AA21" s="17"/>
      <c r="AB21" s="60">
        <f>+(AB13)/AB3</f>
        <v>4.7648152000000001</v>
      </c>
    </row>
    <row r="22" spans="2:28" ht="14.65" thickBot="1" x14ac:dyDescent="0.5">
      <c r="B22" s="16" t="s">
        <v>67</v>
      </c>
      <c r="C22" s="19"/>
      <c r="D22" s="19"/>
      <c r="E22" s="19"/>
      <c r="F22" s="19"/>
      <c r="G22" s="61">
        <f>+(G13+G17-G4*G6)/G3</f>
        <v>0.8900345300000001</v>
      </c>
      <c r="I22" s="16" t="s">
        <v>67</v>
      </c>
      <c r="J22" s="19"/>
      <c r="K22" s="19"/>
      <c r="L22" s="19"/>
      <c r="M22" s="19"/>
      <c r="N22" s="61">
        <f>+(N13+N17-N4*N6)/N3</f>
        <v>0.71496587599999994</v>
      </c>
      <c r="P22" s="16" t="s">
        <v>67</v>
      </c>
      <c r="Q22" s="19"/>
      <c r="R22" s="19"/>
      <c r="S22" s="19"/>
      <c r="T22" s="19"/>
      <c r="U22" s="61">
        <f>+(U13+U17)/U3</f>
        <v>4.7659625781250003</v>
      </c>
      <c r="W22" s="16" t="s">
        <v>67</v>
      </c>
      <c r="X22" s="19"/>
      <c r="Y22" s="19"/>
      <c r="Z22" s="19"/>
      <c r="AA22" s="19"/>
      <c r="AB22" s="61">
        <f>+(AB13+AB17)/AB3</f>
        <v>7.5304152000000002</v>
      </c>
    </row>
    <row r="23" spans="2:28" ht="4.5" customHeight="1" thickBot="1" x14ac:dyDescent="0.5"/>
    <row r="24" spans="2:28" ht="15" thickTop="1" thickBot="1" x14ac:dyDescent="0.5">
      <c r="B24" s="140" t="s">
        <v>135</v>
      </c>
      <c r="C24" s="141"/>
      <c r="D24" s="141"/>
      <c r="E24" s="141"/>
      <c r="F24" s="141"/>
      <c r="G24" s="142"/>
      <c r="I24" s="140" t="s">
        <v>135</v>
      </c>
      <c r="J24" s="141"/>
      <c r="K24" s="141"/>
      <c r="L24" s="141"/>
      <c r="M24" s="141"/>
      <c r="N24" s="142"/>
      <c r="P24" s="140" t="s">
        <v>135</v>
      </c>
      <c r="Q24" s="141"/>
      <c r="R24" s="141"/>
      <c r="S24" s="141"/>
      <c r="T24" s="141"/>
      <c r="U24" s="142"/>
      <c r="W24" s="140" t="s">
        <v>135</v>
      </c>
      <c r="X24" s="141"/>
      <c r="Y24" s="141"/>
      <c r="Z24" s="141"/>
      <c r="AA24" s="141"/>
      <c r="AB24" s="142"/>
    </row>
    <row r="25" spans="2:28" ht="14.65" thickTop="1" x14ac:dyDescent="0.45">
      <c r="B25" s="85" t="s">
        <v>59</v>
      </c>
      <c r="C25" s="143" t="s">
        <v>161</v>
      </c>
      <c r="D25" s="144"/>
      <c r="E25" s="144" t="s">
        <v>61</v>
      </c>
      <c r="F25" s="144"/>
      <c r="G25" s="145"/>
      <c r="I25" s="85" t="s">
        <v>59</v>
      </c>
      <c r="J25" s="143" t="s">
        <v>161</v>
      </c>
      <c r="K25" s="144"/>
      <c r="L25" s="144" t="s">
        <v>61</v>
      </c>
      <c r="M25" s="144"/>
      <c r="N25" s="145"/>
      <c r="P25" s="85" t="s">
        <v>59</v>
      </c>
      <c r="Q25" s="143" t="s">
        <v>161</v>
      </c>
      <c r="R25" s="144"/>
      <c r="S25" s="144" t="s">
        <v>61</v>
      </c>
      <c r="T25" s="144"/>
      <c r="U25" s="145"/>
      <c r="W25" s="85" t="s">
        <v>59</v>
      </c>
      <c r="X25" s="143" t="s">
        <v>161</v>
      </c>
      <c r="Y25" s="144"/>
      <c r="Z25" s="144" t="s">
        <v>61</v>
      </c>
      <c r="AA25" s="144"/>
      <c r="AB25" s="145"/>
    </row>
    <row r="26" spans="2:28" ht="14.65" thickBot="1" x14ac:dyDescent="0.5">
      <c r="B26" s="86"/>
      <c r="C26" s="102">
        <f>+E26*0.8</f>
        <v>0.41600000000000004</v>
      </c>
      <c r="D26" s="103">
        <f>+E26*0.9</f>
        <v>0.46800000000000003</v>
      </c>
      <c r="E26" s="125">
        <f>+G5</f>
        <v>0.52</v>
      </c>
      <c r="F26" s="103">
        <f>+E26*1.1</f>
        <v>0.57200000000000006</v>
      </c>
      <c r="G26" s="104">
        <f>+E26*1.2</f>
        <v>0.624</v>
      </c>
      <c r="I26" s="86"/>
      <c r="J26" s="102">
        <f>+L26*0.8</f>
        <v>0.41600000000000004</v>
      </c>
      <c r="K26" s="103">
        <f>+L26*0.9</f>
        <v>0.46800000000000003</v>
      </c>
      <c r="L26" s="125">
        <f>+N5</f>
        <v>0.52</v>
      </c>
      <c r="M26" s="103">
        <f>+L26*1.1</f>
        <v>0.57200000000000006</v>
      </c>
      <c r="N26" s="104">
        <f>+L26*1.2</f>
        <v>0.624</v>
      </c>
      <c r="P26" s="86"/>
      <c r="Q26" s="102">
        <f>+S26*0.8</f>
        <v>2.72</v>
      </c>
      <c r="R26" s="103">
        <f>+S26*0.9</f>
        <v>3.06</v>
      </c>
      <c r="S26" s="125">
        <f>+U5</f>
        <v>3.4</v>
      </c>
      <c r="T26" s="103">
        <f>+S26*1.1</f>
        <v>3.74</v>
      </c>
      <c r="U26" s="104">
        <f>+S26*1.2</f>
        <v>4.08</v>
      </c>
      <c r="W26" s="86"/>
      <c r="X26" s="102">
        <f>+Z26*0.8</f>
        <v>4.8000000000000007</v>
      </c>
      <c r="Y26" s="103">
        <f>+Z26*0.9</f>
        <v>5.4</v>
      </c>
      <c r="Z26" s="125">
        <f>+AB5</f>
        <v>6</v>
      </c>
      <c r="AA26" s="103">
        <f>+Z26*1.1</f>
        <v>6.6000000000000005</v>
      </c>
      <c r="AB26" s="104">
        <f>+Z26*1.2</f>
        <v>7.1999999999999993</v>
      </c>
    </row>
    <row r="27" spans="2:28" ht="14.65" thickTop="1" x14ac:dyDescent="0.45">
      <c r="B27" s="87">
        <f>+B29*0.8</f>
        <v>320</v>
      </c>
      <c r="C27" s="88">
        <f>+(C$26*$B27+$G$6*$G$4-$G$13-$G$17+$G$12-$B27*0.22)</f>
        <v>-191.29381200000003</v>
      </c>
      <c r="D27" s="89">
        <f t="shared" ref="D27:G27" si="0">+(D$26*$B27+$G$6*$G$4-$G$13-$G$17+$G$12-$B27*0.22)</f>
        <v>-174.65381199999999</v>
      </c>
      <c r="E27" s="89">
        <f t="shared" si="0"/>
        <v>-158.013812</v>
      </c>
      <c r="F27" s="89">
        <f t="shared" si="0"/>
        <v>-141.37381200000002</v>
      </c>
      <c r="G27" s="90">
        <f t="shared" si="0"/>
        <v>-124.73381200000003</v>
      </c>
      <c r="I27" s="87">
        <f>+I29*0.8</f>
        <v>800</v>
      </c>
      <c r="J27" s="88">
        <f>+(J$26*$I27+$N$6*$N$4-$N$13-$N$17+$N$12-$I27*0.23)</f>
        <v>-301.16587600000003</v>
      </c>
      <c r="K27" s="89">
        <f t="shared" ref="K27:N27" si="1">+(K$26*$I27+$N$6*$N$4-$N$13-$N$17+$N$12-$I27*0.23)</f>
        <v>-259.565876</v>
      </c>
      <c r="L27" s="89">
        <f t="shared" si="1"/>
        <v>-217.96587600000004</v>
      </c>
      <c r="M27" s="89">
        <f t="shared" si="1"/>
        <v>-176.36587600000001</v>
      </c>
      <c r="N27" s="90">
        <f t="shared" si="1"/>
        <v>-134.76587599999999</v>
      </c>
      <c r="P27" s="87">
        <f>+P29*0.8</f>
        <v>128</v>
      </c>
      <c r="Q27" s="88">
        <f>+(Q$26*$P27-$U$13-$U$17+$U$12-$P27*0.43)</f>
        <v>-400.63401249999993</v>
      </c>
      <c r="R27" s="89">
        <f t="shared" ref="R27:U27" si="2">+(R$26*$P27-$U$13-$U$17+$U$12-$P27*0.43)</f>
        <v>-357.11401249999994</v>
      </c>
      <c r="S27" s="89">
        <f t="shared" si="2"/>
        <v>-313.59401249999996</v>
      </c>
      <c r="T27" s="89">
        <f t="shared" si="2"/>
        <v>-270.07401249999992</v>
      </c>
      <c r="U27" s="90">
        <f t="shared" si="2"/>
        <v>-226.55401249999991</v>
      </c>
      <c r="W27" s="87">
        <f>+W29*0.8</f>
        <v>20</v>
      </c>
      <c r="X27" s="88">
        <f>+(X$26*$W27-$AB$13-$AB$17+$AB$12-24+$W27*0.48)</f>
        <v>-70.660380000000004</v>
      </c>
      <c r="Y27" s="89">
        <f t="shared" ref="Y27:AB27" si="3">+(Y$26*$W27-$AB$13-$AB$17+$AB$12-24+$W27*0.48)</f>
        <v>-58.660380000000011</v>
      </c>
      <c r="Z27" s="89">
        <f t="shared" si="3"/>
        <v>-46.660380000000011</v>
      </c>
      <c r="AA27" s="89">
        <f t="shared" si="3"/>
        <v>-34.660380000000011</v>
      </c>
      <c r="AB27" s="90">
        <f t="shared" si="3"/>
        <v>-22.660380000000011</v>
      </c>
    </row>
    <row r="28" spans="2:28" x14ac:dyDescent="0.45">
      <c r="B28" s="91">
        <f>+B29*0.9</f>
        <v>360</v>
      </c>
      <c r="C28" s="92">
        <f t="shared" ref="C28:G31" si="4">+(C$26*$B28+$G$6*$G$4-$G$13-$G$17+$G$12-$B28*0.22)</f>
        <v>-183.45381199999997</v>
      </c>
      <c r="D28" s="93">
        <f t="shared" si="4"/>
        <v>-164.733812</v>
      </c>
      <c r="E28" s="93">
        <f t="shared" si="4"/>
        <v>-146.01381199999997</v>
      </c>
      <c r="F28" s="93">
        <f t="shared" si="4"/>
        <v>-127.29381200000002</v>
      </c>
      <c r="G28" s="94">
        <f t="shared" si="4"/>
        <v>-108.57381200000005</v>
      </c>
      <c r="I28" s="91">
        <f>+I29*0.9</f>
        <v>900</v>
      </c>
      <c r="J28" s="92">
        <f t="shared" ref="J28:N31" si="5">+(J$26*$I28+$N$6*$N$4-$N$13-$N$17+$N$12-$I28*0.23)</f>
        <v>-282.565876</v>
      </c>
      <c r="K28" s="93">
        <f t="shared" si="5"/>
        <v>-235.76587599999999</v>
      </c>
      <c r="L28" s="93">
        <f t="shared" si="5"/>
        <v>-188.96587600000004</v>
      </c>
      <c r="M28" s="93">
        <f t="shared" si="5"/>
        <v>-142.16587599999997</v>
      </c>
      <c r="N28" s="94">
        <f t="shared" si="5"/>
        <v>-95.365876000000014</v>
      </c>
      <c r="P28" s="91">
        <f>+P29*0.9</f>
        <v>144</v>
      </c>
      <c r="Q28" s="92">
        <f t="shared" ref="Q28:U31" si="6">+(Q$26*$P28-$U$13-$U$17+$U$12-$P28*0.43)</f>
        <v>-363.99401249999994</v>
      </c>
      <c r="R28" s="93">
        <f t="shared" si="6"/>
        <v>-315.03401249999996</v>
      </c>
      <c r="S28" s="93">
        <f t="shared" si="6"/>
        <v>-266.07401249999998</v>
      </c>
      <c r="T28" s="93">
        <f t="shared" si="6"/>
        <v>-217.11401249999989</v>
      </c>
      <c r="U28" s="94">
        <f t="shared" si="6"/>
        <v>-168.15401249999996</v>
      </c>
      <c r="W28" s="91">
        <f>+W29*0.9</f>
        <v>22.5</v>
      </c>
      <c r="X28" s="92">
        <f t="shared" ref="X28:AB31" si="7">+(X$26*$W28-$AB$13-$AB$17+$AB$12-24+$W28*0.48)</f>
        <v>-57.460380000000001</v>
      </c>
      <c r="Y28" s="93">
        <f t="shared" si="7"/>
        <v>-43.960380000000001</v>
      </c>
      <c r="Z28" s="93">
        <f t="shared" si="7"/>
        <v>-30.460380000000015</v>
      </c>
      <c r="AA28" s="93">
        <f t="shared" si="7"/>
        <v>-16.960380000000015</v>
      </c>
      <c r="AB28" s="94">
        <f t="shared" si="7"/>
        <v>-3.4603800000000415</v>
      </c>
    </row>
    <row r="29" spans="2:28" x14ac:dyDescent="0.45">
      <c r="B29" s="115">
        <f>+G3</f>
        <v>400</v>
      </c>
      <c r="C29" s="92">
        <f t="shared" si="4"/>
        <v>-175.613812</v>
      </c>
      <c r="D29" s="93">
        <f t="shared" si="4"/>
        <v>-154.81381199999998</v>
      </c>
      <c r="E29" s="93">
        <f t="shared" si="4"/>
        <v>-134.01381200000003</v>
      </c>
      <c r="F29" s="93">
        <f t="shared" si="4"/>
        <v>-113.213812</v>
      </c>
      <c r="G29" s="94">
        <f t="shared" si="4"/>
        <v>-92.413811999999993</v>
      </c>
      <c r="I29" s="115">
        <f>+N3</f>
        <v>1000</v>
      </c>
      <c r="J29" s="92">
        <f t="shared" si="5"/>
        <v>-263.96587600000004</v>
      </c>
      <c r="K29" s="93">
        <f t="shared" si="5"/>
        <v>-211.96587600000004</v>
      </c>
      <c r="L29" s="93">
        <f t="shared" si="5"/>
        <v>-159.96587600000004</v>
      </c>
      <c r="M29" s="93">
        <f t="shared" si="5"/>
        <v>-107.96587599999992</v>
      </c>
      <c r="N29" s="94">
        <f t="shared" si="5"/>
        <v>-55.965876000000037</v>
      </c>
      <c r="P29" s="115">
        <f>+U3</f>
        <v>160</v>
      </c>
      <c r="Q29" s="92">
        <f t="shared" si="6"/>
        <v>-327.3540124999999</v>
      </c>
      <c r="R29" s="93">
        <f t="shared" si="6"/>
        <v>-272.95401249999992</v>
      </c>
      <c r="S29" s="93">
        <f t="shared" si="6"/>
        <v>-218.55401249999994</v>
      </c>
      <c r="T29" s="93">
        <f t="shared" si="6"/>
        <v>-164.15401249999985</v>
      </c>
      <c r="U29" s="94">
        <f t="shared" si="6"/>
        <v>-109.75401249999999</v>
      </c>
      <c r="W29" s="115">
        <f>+AB3</f>
        <v>25</v>
      </c>
      <c r="X29" s="92">
        <f t="shared" si="7"/>
        <v>-44.260379999999998</v>
      </c>
      <c r="Y29" s="93">
        <f t="shared" si="7"/>
        <v>-29.260380000000012</v>
      </c>
      <c r="Z29" s="93">
        <f t="shared" si="7"/>
        <v>-14.260380000000012</v>
      </c>
      <c r="AA29" s="93">
        <f t="shared" si="7"/>
        <v>0.73961999999998795</v>
      </c>
      <c r="AB29" s="94">
        <f t="shared" si="7"/>
        <v>15.73961999999996</v>
      </c>
    </row>
    <row r="30" spans="2:28" x14ac:dyDescent="0.45">
      <c r="B30" s="91">
        <f>+B29*1.1</f>
        <v>440.00000000000006</v>
      </c>
      <c r="C30" s="92">
        <f t="shared" si="4"/>
        <v>-167.77381199999996</v>
      </c>
      <c r="D30" s="93">
        <f t="shared" si="4"/>
        <v>-144.89381199999997</v>
      </c>
      <c r="E30" s="93">
        <f t="shared" si="4"/>
        <v>-122.01381199999996</v>
      </c>
      <c r="F30" s="93">
        <f t="shared" si="4"/>
        <v>-99.133811999999963</v>
      </c>
      <c r="G30" s="94">
        <f t="shared" si="4"/>
        <v>-76.253811999999968</v>
      </c>
      <c r="I30" s="91">
        <f>+I29*1.1</f>
        <v>1100</v>
      </c>
      <c r="J30" s="92">
        <f t="shared" si="5"/>
        <v>-245.36587600000001</v>
      </c>
      <c r="K30" s="93">
        <f t="shared" si="5"/>
        <v>-188.16587599999997</v>
      </c>
      <c r="L30" s="93">
        <f t="shared" si="5"/>
        <v>-130.96587600000004</v>
      </c>
      <c r="M30" s="93">
        <f t="shared" si="5"/>
        <v>-73.765875999999992</v>
      </c>
      <c r="N30" s="94">
        <f t="shared" si="5"/>
        <v>-16.56587600000006</v>
      </c>
      <c r="P30" s="91">
        <f>+P29*1.1</f>
        <v>176</v>
      </c>
      <c r="Q30" s="92">
        <f t="shared" si="6"/>
        <v>-290.71401249999991</v>
      </c>
      <c r="R30" s="93">
        <f t="shared" si="6"/>
        <v>-230.87401249999988</v>
      </c>
      <c r="S30" s="93">
        <f t="shared" si="6"/>
        <v>-171.03401249999996</v>
      </c>
      <c r="T30" s="93">
        <f t="shared" si="6"/>
        <v>-111.19401249999993</v>
      </c>
      <c r="U30" s="94">
        <f t="shared" si="6"/>
        <v>-51.354012499999897</v>
      </c>
      <c r="W30" s="91">
        <f>+W29*1.1</f>
        <v>27.500000000000004</v>
      </c>
      <c r="X30" s="92">
        <f t="shared" si="7"/>
        <v>-31.060379999999981</v>
      </c>
      <c r="Y30" s="93">
        <f t="shared" si="7"/>
        <v>-14.560379999999983</v>
      </c>
      <c r="Z30" s="93">
        <f t="shared" si="7"/>
        <v>1.9396200000000174</v>
      </c>
      <c r="AA30" s="93">
        <f t="shared" si="7"/>
        <v>18.439620000000019</v>
      </c>
      <c r="AB30" s="94">
        <f t="shared" si="7"/>
        <v>34.939619999999991</v>
      </c>
    </row>
    <row r="31" spans="2:28" ht="14.65" thickBot="1" x14ac:dyDescent="0.5">
      <c r="B31" s="95">
        <f>+B29*1.2</f>
        <v>480</v>
      </c>
      <c r="C31" s="96">
        <f t="shared" si="4"/>
        <v>-159.93381200000002</v>
      </c>
      <c r="D31" s="97">
        <f t="shared" si="4"/>
        <v>-134.97381200000004</v>
      </c>
      <c r="E31" s="97">
        <f t="shared" si="4"/>
        <v>-110.01381199999999</v>
      </c>
      <c r="F31" s="97">
        <f t="shared" si="4"/>
        <v>-85.053811999999951</v>
      </c>
      <c r="G31" s="98">
        <f>+(G$26*$B31+$G$6*$G$4-$G$13-$G$17+$G$12-$B31*0.22)</f>
        <v>-60.093812000000028</v>
      </c>
      <c r="I31" s="95">
        <f>+I29*1.2</f>
        <v>1200</v>
      </c>
      <c r="J31" s="96">
        <f t="shared" si="5"/>
        <v>-226.76587599999999</v>
      </c>
      <c r="K31" s="97">
        <f t="shared" si="5"/>
        <v>-164.36587600000001</v>
      </c>
      <c r="L31" s="97">
        <f t="shared" si="5"/>
        <v>-101.96587600000004</v>
      </c>
      <c r="M31" s="97">
        <f t="shared" si="5"/>
        <v>-39.565875999999946</v>
      </c>
      <c r="N31" s="98">
        <f t="shared" si="5"/>
        <v>22.834123999999917</v>
      </c>
      <c r="P31" s="95">
        <f>+P29*1.2</f>
        <v>192</v>
      </c>
      <c r="Q31" s="96">
        <f t="shared" si="6"/>
        <v>-254.07401249999992</v>
      </c>
      <c r="R31" s="97">
        <f t="shared" si="6"/>
        <v>-188.79401249999995</v>
      </c>
      <c r="S31" s="97">
        <f t="shared" si="6"/>
        <v>-123.51401249999999</v>
      </c>
      <c r="T31" s="97">
        <f t="shared" si="6"/>
        <v>-58.234012499999906</v>
      </c>
      <c r="U31" s="98">
        <f t="shared" si="6"/>
        <v>7.0459875000000665</v>
      </c>
      <c r="W31" s="95">
        <f>+W29*1.2</f>
        <v>30</v>
      </c>
      <c r="X31" s="96">
        <f t="shared" si="7"/>
        <v>-17.860379999999985</v>
      </c>
      <c r="Y31" s="97">
        <f t="shared" si="7"/>
        <v>0.13961999999998653</v>
      </c>
      <c r="Z31" s="97">
        <f t="shared" si="7"/>
        <v>18.139619999999987</v>
      </c>
      <c r="AA31" s="97">
        <f t="shared" si="7"/>
        <v>36.139620000000015</v>
      </c>
      <c r="AB31" s="98">
        <f t="shared" si="7"/>
        <v>54.139619999999958</v>
      </c>
    </row>
    <row r="32" spans="2:28" ht="15" thickTop="1" thickBot="1" x14ac:dyDescent="0.5"/>
    <row r="33" spans="2:28" ht="15" thickTop="1" thickBot="1" x14ac:dyDescent="0.5">
      <c r="B33" s="140" t="s">
        <v>160</v>
      </c>
      <c r="C33" s="141"/>
      <c r="D33" s="141"/>
      <c r="E33" s="141"/>
      <c r="F33" s="141"/>
      <c r="G33" s="142"/>
      <c r="I33" s="140" t="s">
        <v>160</v>
      </c>
      <c r="J33" s="141"/>
      <c r="K33" s="141"/>
      <c r="L33" s="141"/>
      <c r="M33" s="141"/>
      <c r="N33" s="142"/>
      <c r="P33" s="140" t="s">
        <v>160</v>
      </c>
      <c r="Q33" s="141"/>
      <c r="R33" s="141"/>
      <c r="S33" s="141"/>
      <c r="T33" s="141"/>
      <c r="U33" s="142"/>
      <c r="W33" s="140" t="s">
        <v>160</v>
      </c>
      <c r="X33" s="141"/>
      <c r="Y33" s="141"/>
      <c r="Z33" s="141"/>
      <c r="AA33" s="141"/>
      <c r="AB33" s="142"/>
    </row>
    <row r="34" spans="2:28" ht="14.65" thickTop="1" x14ac:dyDescent="0.45">
      <c r="B34" s="85" t="s">
        <v>59</v>
      </c>
      <c r="C34" s="143" t="s">
        <v>161</v>
      </c>
      <c r="D34" s="144"/>
      <c r="E34" s="144" t="s">
        <v>61</v>
      </c>
      <c r="F34" s="144"/>
      <c r="G34" s="145"/>
      <c r="I34" s="85" t="s">
        <v>59</v>
      </c>
      <c r="J34" s="143" t="s">
        <v>161</v>
      </c>
      <c r="K34" s="144"/>
      <c r="L34" s="144" t="s">
        <v>61</v>
      </c>
      <c r="M34" s="144"/>
      <c r="N34" s="145"/>
      <c r="P34" s="85" t="s">
        <v>59</v>
      </c>
      <c r="Q34" s="143" t="s">
        <v>161</v>
      </c>
      <c r="R34" s="144"/>
      <c r="S34" s="144" t="s">
        <v>61</v>
      </c>
      <c r="T34" s="144"/>
      <c r="U34" s="145"/>
      <c r="W34" s="85" t="s">
        <v>59</v>
      </c>
      <c r="X34" s="143" t="s">
        <v>161</v>
      </c>
      <c r="Y34" s="144"/>
      <c r="Z34" s="144" t="s">
        <v>61</v>
      </c>
      <c r="AA34" s="144"/>
      <c r="AB34" s="145"/>
    </row>
    <row r="35" spans="2:28" ht="14.65" thickBot="1" x14ac:dyDescent="0.5">
      <c r="B35" s="86"/>
      <c r="C35" s="102">
        <f>+C26</f>
        <v>0.41600000000000004</v>
      </c>
      <c r="D35" s="103">
        <f>+D26</f>
        <v>0.46800000000000003</v>
      </c>
      <c r="E35" s="125">
        <f>+E26</f>
        <v>0.52</v>
      </c>
      <c r="F35" s="103">
        <f>+E35*1.1</f>
        <v>0.57200000000000006</v>
      </c>
      <c r="G35" s="104">
        <f>+E35*1.2</f>
        <v>0.624</v>
      </c>
      <c r="I35" s="86"/>
      <c r="J35" s="102">
        <f>+L35*0.8</f>
        <v>0.41600000000000004</v>
      </c>
      <c r="K35" s="103">
        <f>+L35*0.9</f>
        <v>0.46800000000000003</v>
      </c>
      <c r="L35" s="125">
        <f>+L26</f>
        <v>0.52</v>
      </c>
      <c r="M35" s="103">
        <f>+L35*1.1</f>
        <v>0.57200000000000006</v>
      </c>
      <c r="N35" s="104">
        <f>+L35*1.2</f>
        <v>0.624</v>
      </c>
      <c r="P35" s="86"/>
      <c r="Q35" s="102">
        <f>+S35*0.8</f>
        <v>2.72</v>
      </c>
      <c r="R35" s="103">
        <f>+S35*0.9</f>
        <v>3.06</v>
      </c>
      <c r="S35" s="125">
        <f>+S26</f>
        <v>3.4</v>
      </c>
      <c r="T35" s="103">
        <f>+S35*1.1</f>
        <v>3.74</v>
      </c>
      <c r="U35" s="104">
        <f>+S35*1.2</f>
        <v>4.08</v>
      </c>
      <c r="W35" s="86"/>
      <c r="X35" s="102">
        <f>+Z35*0.8</f>
        <v>4.8000000000000007</v>
      </c>
      <c r="Y35" s="103">
        <f>+Z35*0.9</f>
        <v>5.4</v>
      </c>
      <c r="Z35" s="125">
        <f>+Z26</f>
        <v>6</v>
      </c>
      <c r="AA35" s="103">
        <f>+Z35*1.1</f>
        <v>6.6000000000000005</v>
      </c>
      <c r="AB35" s="104">
        <f>+Z35*1.2</f>
        <v>7.1999999999999993</v>
      </c>
    </row>
    <row r="36" spans="2:28" ht="14.65" thickTop="1" x14ac:dyDescent="0.45">
      <c r="B36" s="87">
        <f>+B38*0.8</f>
        <v>320</v>
      </c>
      <c r="C36" s="88">
        <f>+(C$26*$B36+$G$6*$G$4-$G$13-$G$17+$G$12-$B36*0.22)+Cotton!$G$37+Cotton!$G$42</f>
        <v>-140.56381200000004</v>
      </c>
      <c r="D36" s="89">
        <f>+(D$26*$B36+$G$6*$G$4-$G$13-$G$17+$G$12-$B36*0.22)+Cotton!$G$37+Cotton!$G$42</f>
        <v>-123.92381199999998</v>
      </c>
      <c r="E36" s="89">
        <f>+(E$26*$B36+$G$6*$G$4-$G$13-$G$17+$G$12-$B36*0.22)+Cotton!$G$37+Cotton!$G$42</f>
        <v>-107.283812</v>
      </c>
      <c r="F36" s="89">
        <f>+(F$26*$B36+$G$6*$G$4-$G$13-$G$17+$G$12-$B36*0.22)+Cotton!$G$37+Cotton!$G$42</f>
        <v>-90.643812000000011</v>
      </c>
      <c r="G36" s="90">
        <f>+(G$26*$B36+$G$6*$G$4-$G$13-$G$17+$G$12-$B36*0.22)+Cotton!$G$37+Cotton!$G$42</f>
        <v>-74.003812000000025</v>
      </c>
      <c r="I36" s="87">
        <f>+I38*0.8</f>
        <v>800</v>
      </c>
      <c r="J36" s="88">
        <f>+(J$26*$I36+$N$6*$N$4-$N$13-$N$17+$N$12-$I36*0.23)+'Irrigated Cotton'!$F$37+'Irrigated Cotton'!$F$42</f>
        <v>-214.59587600000003</v>
      </c>
      <c r="K36" s="89">
        <f>+(K$26*$I36+$N$6*$N$4-$N$13-$N$17+$N$12-$I36*0.23)+'Irrigated Cotton'!$F$37+'Irrigated Cotton'!$F$42</f>
        <v>-172.99587600000001</v>
      </c>
      <c r="L36" s="89">
        <f>+(L$26*$I36+$N$6*$N$4-$N$13-$N$17+$N$12-$I36*0.23)+'Irrigated Cotton'!$F$37+'Irrigated Cotton'!$F$42</f>
        <v>-131.39587600000004</v>
      </c>
      <c r="M36" s="89">
        <f>+(M$26*$I36+$N$6*$N$4-$N$13-$N$17+$N$12-$I36*0.23)+'Irrigated Cotton'!$F$37+'Irrigated Cotton'!$F$42</f>
        <v>-89.795876000000021</v>
      </c>
      <c r="N36" s="90">
        <f>+(N$26*$I36+$N$6*$N$4-$N$13-$N$17+$N$12-$I36*0.23)+'Irrigated Cotton'!$F$37+'Irrigated Cotton'!$F$42</f>
        <v>-48.195875999999991</v>
      </c>
      <c r="P36" s="87">
        <f>+P38*0.8</f>
        <v>128</v>
      </c>
      <c r="Q36" s="88">
        <f>+(Q$26*$P36-$U$13-$U$17+$U$12-$P36*0.43)+'Corn Irrigated'!$G$37+'Corn Irrigated'!$G$42</f>
        <v>-284.82401249999987</v>
      </c>
      <c r="R36" s="89">
        <f>+(R$26*$P36-$U$13-$U$17+$U$12-$P36*0.43)+'Corn Irrigated'!$G$37+'Corn Irrigated'!$G$42</f>
        <v>-241.30401249999991</v>
      </c>
      <c r="S36" s="89">
        <f>+(S$26*$P36-$U$13-$U$17+$U$12-$P36*0.43)+'Corn Irrigated'!$G$37+'Corn Irrigated'!$G$42</f>
        <v>-197.78401249999996</v>
      </c>
      <c r="T36" s="89">
        <f>+(T$26*$P36-$U$13-$U$17+$U$12-$P36*0.43)+'Corn Irrigated'!$G$37+'Corn Irrigated'!$G$42</f>
        <v>-154.26401249999992</v>
      </c>
      <c r="U36" s="90">
        <f>+(U$26*$P36-$U$13-$U$17+$U$12-$P36*0.43)+'Corn Irrigated'!$G$37+'Corn Irrigated'!$G$42</f>
        <v>-110.74401249999991</v>
      </c>
      <c r="W36" s="87">
        <f>+W38*0.8</f>
        <v>20</v>
      </c>
      <c r="X36" s="88">
        <f>+(X$26*$W36-$AB$13-$AB$17+$AB$12-24+$W36*0.48)+Sorghum!$G$37+Sorghum!$G$42</f>
        <v>-31.520379999999999</v>
      </c>
      <c r="Y36" s="89">
        <f>+(Y$26*$W36-$AB$13-$AB$17+$AB$12-24+$W36*0.48)+Sorghum!$G$37+Sorghum!$G$42</f>
        <v>-19.52038000000001</v>
      </c>
      <c r="Z36" s="89">
        <f>+(Z$26*$W36-$AB$13-$AB$17+$AB$12-24+$W36*0.48)+Sorghum!$G$37+Sorghum!$G$42</f>
        <v>-7.5203800000000101</v>
      </c>
      <c r="AA36" s="89">
        <f>+(AA$26*$W36-$AB$13-$AB$17+$AB$12-24+$W36*0.48)+Sorghum!$G$37+Sorghum!$G$42</f>
        <v>4.4796199999999899</v>
      </c>
      <c r="AB36" s="90">
        <f>+(AB$26*$W36-$AB$13-$AB$17+$AB$12-24+$W36*0.48)+Sorghum!$G$37+Sorghum!$G$42</f>
        <v>16.47961999999999</v>
      </c>
    </row>
    <row r="37" spans="2:28" x14ac:dyDescent="0.45">
      <c r="B37" s="91">
        <f>+B38*0.9</f>
        <v>360</v>
      </c>
      <c r="C37" s="92">
        <f>+(C$26*$B37+$G$6*$G$4-$G$13-$G$17+$G$12-$B37*0.22)+Cotton!$G$37+Cotton!$G$42</f>
        <v>-132.72381199999995</v>
      </c>
      <c r="D37" s="93">
        <f>+(D$26*$B37+$G$6*$G$4-$G$13-$G$17+$G$12-$B37*0.22)+Cotton!$G$37+Cotton!$G$42</f>
        <v>-114.003812</v>
      </c>
      <c r="E37" s="93">
        <f>+(E$26*$B37+$G$6*$G$4-$G$13-$G$17+$G$12-$B37*0.22)+Cotton!$G$37+Cotton!$G$42</f>
        <v>-95.283811999999969</v>
      </c>
      <c r="F37" s="93">
        <f>+(F$26*$B37+$G$6*$G$4-$G$13-$G$17+$G$12-$B37*0.22)+Cotton!$G$37+Cotton!$G$42</f>
        <v>-76.563812000000013</v>
      </c>
      <c r="G37" s="94">
        <f>+(G$26*$B37+$G$6*$G$4-$G$13-$G$17+$G$12-$B37*0.22)+Cotton!$G$37+Cotton!$G$42</f>
        <v>-57.843812000000042</v>
      </c>
      <c r="I37" s="91">
        <f>+I38*0.9</f>
        <v>900</v>
      </c>
      <c r="J37" s="92">
        <f>+(J$26*$I37+$N$6*$N$4-$N$13-$N$17+$N$12-$I37*0.23)+'Irrigated Cotton'!$F$37+'Irrigated Cotton'!$F$42</f>
        <v>-195.99587600000001</v>
      </c>
      <c r="K37" s="93">
        <f>+(K$26*$I37+$N$6*$N$4-$N$13-$N$17+$N$12-$I37*0.23)+'Irrigated Cotton'!$F$37+'Irrigated Cotton'!$F$42</f>
        <v>-149.195876</v>
      </c>
      <c r="L37" s="93">
        <f>+(L$26*$I37+$N$6*$N$4-$N$13-$N$17+$N$12-$I37*0.23)+'Irrigated Cotton'!$F$37+'Irrigated Cotton'!$F$42</f>
        <v>-102.39587600000004</v>
      </c>
      <c r="M37" s="93">
        <f>+(M$26*$I37+$N$6*$N$4-$N$13-$N$17+$N$12-$I37*0.23)+'Irrigated Cotton'!$F$37+'Irrigated Cotton'!$F$42</f>
        <v>-55.595875999999969</v>
      </c>
      <c r="N37" s="94">
        <f>+(N$26*$I37+$N$6*$N$4-$N$13-$N$17+$N$12-$I37*0.23)+'Irrigated Cotton'!$F$37+'Irrigated Cotton'!$F$42</f>
        <v>-8.795876000000014</v>
      </c>
      <c r="P37" s="91">
        <f>+P38*0.9</f>
        <v>144</v>
      </c>
      <c r="Q37" s="92">
        <f>+(Q$26*$P37-$U$13-$U$17+$U$12-$P37*0.43)+'Corn Irrigated'!$G$37+'Corn Irrigated'!$G$42</f>
        <v>-248.18401249999991</v>
      </c>
      <c r="R37" s="93">
        <f>+(R$26*$P37-$U$13-$U$17+$U$12-$P37*0.43)+'Corn Irrigated'!$G$37+'Corn Irrigated'!$G$42</f>
        <v>-199.22401249999996</v>
      </c>
      <c r="S37" s="93">
        <f>+(S$26*$P37-$U$13-$U$17+$U$12-$P37*0.43)+'Corn Irrigated'!$G$37+'Corn Irrigated'!$G$42</f>
        <v>-150.26401249999998</v>
      </c>
      <c r="T37" s="93">
        <f>+(T$26*$P37-$U$13-$U$17+$U$12-$P37*0.43)+'Corn Irrigated'!$G$37+'Corn Irrigated'!$G$42</f>
        <v>-101.30401249999989</v>
      </c>
      <c r="U37" s="94">
        <f>+(U$26*$P37-$U$13-$U$17+$U$12-$P37*0.43)+'Corn Irrigated'!$G$37+'Corn Irrigated'!$G$42</f>
        <v>-52.344012499999963</v>
      </c>
      <c r="W37" s="91">
        <f>+W38*0.9</f>
        <v>22.5</v>
      </c>
      <c r="X37" s="92">
        <f>+(X$26*$W37-$AB$13-$AB$17+$AB$12-24+$W37*0.48)+Sorghum!$G$37+Sorghum!$G$42</f>
        <v>-18.32038</v>
      </c>
      <c r="Y37" s="93">
        <f>+(Y$26*$W37-$AB$13-$AB$17+$AB$12-24+$W37*0.48)+Sorghum!$G$37+Sorghum!$G$42</f>
        <v>-4.8203800000000001</v>
      </c>
      <c r="Z37" s="93">
        <f>+(Z$26*$W37-$AB$13-$AB$17+$AB$12-24+$W37*0.48)+Sorghum!$G$37+Sorghum!$G$42</f>
        <v>8.6796199999999857</v>
      </c>
      <c r="AA37" s="93">
        <f>+(AA$26*$W37-$AB$13-$AB$17+$AB$12-24+$W37*0.48)+Sorghum!$G$37+Sorghum!$G$42</f>
        <v>22.179619999999986</v>
      </c>
      <c r="AB37" s="94">
        <f>+(AB$26*$W37-$AB$13-$AB$17+$AB$12-24+$W37*0.48)+Sorghum!$G$37+Sorghum!$G$42</f>
        <v>35.679619999999957</v>
      </c>
    </row>
    <row r="38" spans="2:28" x14ac:dyDescent="0.45">
      <c r="B38" s="115">
        <f>+B29</f>
        <v>400</v>
      </c>
      <c r="C38" s="92">
        <f>+(C$26*$B38+$G$6*$G$4-$G$13-$G$17+$G$12-$B38*0.22)+Cotton!$G$37+Cotton!$G$42</f>
        <v>-124.88381199999999</v>
      </c>
      <c r="D38" s="93">
        <f>+(D$26*$B38+$G$6*$G$4-$G$13-$G$17+$G$12-$B38*0.22)+Cotton!$G$37+Cotton!$G$42</f>
        <v>-104.08381199999998</v>
      </c>
      <c r="E38" s="93">
        <f>+(E$26*$B38+$G$6*$G$4-$G$13-$G$17+$G$12-$B38*0.22)+Cotton!$G$37+Cotton!$G$42</f>
        <v>-83.283812000000026</v>
      </c>
      <c r="F38" s="93">
        <f>+(F$26*$B38+$G$6*$G$4-$G$13-$G$17+$G$12-$B38*0.22)+Cotton!$G$37+Cotton!$G$42</f>
        <v>-62.483812</v>
      </c>
      <c r="G38" s="94">
        <f>+(G$26*$B38+$G$6*$G$4-$G$13-$G$17+$G$12-$B38*0.22)+Cotton!$G$37+Cotton!$G$42</f>
        <v>-41.683811999999989</v>
      </c>
      <c r="I38" s="115">
        <f>+I29</f>
        <v>1000</v>
      </c>
      <c r="J38" s="92">
        <f>+(J$26*$I38+$N$6*$N$4-$N$13-$N$17+$N$12-$I38*0.23)+'Irrigated Cotton'!$F$37+'Irrigated Cotton'!$F$42</f>
        <v>-177.39587600000004</v>
      </c>
      <c r="K38" s="93">
        <f>+(K$26*$I38+$N$6*$N$4-$N$13-$N$17+$N$12-$I38*0.23)+'Irrigated Cotton'!$F$37+'Irrigated Cotton'!$F$42</f>
        <v>-125.39587600000004</v>
      </c>
      <c r="L38" s="93">
        <f>+(L$26*$I38+$N$6*$N$4-$N$13-$N$17+$N$12-$I38*0.23)+'Irrigated Cotton'!$F$37+'Irrigated Cotton'!$F$42</f>
        <v>-73.395876000000044</v>
      </c>
      <c r="M38" s="93">
        <f>+(M$26*$I38+$N$6*$N$4-$N$13-$N$17+$N$12-$I38*0.23)+'Irrigated Cotton'!$F$37+'Irrigated Cotton'!$F$42</f>
        <v>-21.395875999999923</v>
      </c>
      <c r="N38" s="94">
        <f>+(N$26*$I38+$N$6*$N$4-$N$13-$N$17+$N$12-$I38*0.23)+'Irrigated Cotton'!$F$37+'Irrigated Cotton'!$F$42</f>
        <v>30.604123999999963</v>
      </c>
      <c r="P38" s="115">
        <f>+P29</f>
        <v>160</v>
      </c>
      <c r="Q38" s="92">
        <f>+(Q$26*$P38-$U$13-$U$17+$U$12-$P38*0.43)+'Corn Irrigated'!$G$37+'Corn Irrigated'!$G$42</f>
        <v>-211.54401249999989</v>
      </c>
      <c r="R38" s="93">
        <f>+(R$26*$P38-$U$13-$U$17+$U$12-$P38*0.43)+'Corn Irrigated'!$G$37+'Corn Irrigated'!$G$42</f>
        <v>-157.14401249999992</v>
      </c>
      <c r="S38" s="93">
        <f>+(S$26*$P38-$U$13-$U$17+$U$12-$P38*0.43)+'Corn Irrigated'!$G$37+'Corn Irrigated'!$G$42</f>
        <v>-102.74401249999994</v>
      </c>
      <c r="T38" s="93">
        <f>+(T$26*$P38-$U$13-$U$17+$U$12-$P38*0.43)+'Corn Irrigated'!$G$37+'Corn Irrigated'!$G$42</f>
        <v>-48.344012499999849</v>
      </c>
      <c r="U38" s="94">
        <f>+(U$26*$P38-$U$13-$U$17+$U$12-$P38*0.43)+'Corn Irrigated'!$G$37+'Corn Irrigated'!$G$42</f>
        <v>6.0559875000000147</v>
      </c>
      <c r="W38" s="115">
        <f>+W29</f>
        <v>25</v>
      </c>
      <c r="X38" s="92">
        <f>+(X$26*$W38-$AB$13-$AB$17+$AB$12-24+$W38*0.48)+Sorghum!$G$37+Sorghum!$G$42</f>
        <v>-5.1203799999999973</v>
      </c>
      <c r="Y38" s="93">
        <f>+(Y$26*$W38-$AB$13-$AB$17+$AB$12-24+$W38*0.48)+Sorghum!$G$37+Sorghum!$G$42</f>
        <v>9.8796199999999885</v>
      </c>
      <c r="Z38" s="93">
        <f>+(Z$26*$W38-$AB$13-$AB$17+$AB$12-24+$W38*0.48)+Sorghum!$G$37+Sorghum!$G$42</f>
        <v>24.879619999999989</v>
      </c>
      <c r="AA38" s="93">
        <f>+(AA$26*$W38-$AB$13-$AB$17+$AB$12-24+$W38*0.48)+Sorghum!$G$37+Sorghum!$G$42</f>
        <v>39.879619999999989</v>
      </c>
      <c r="AB38" s="94">
        <f>+(AB$26*$W38-$AB$13-$AB$17+$AB$12-24+$W38*0.48)+Sorghum!$G$37+Sorghum!$G$42</f>
        <v>54.87961999999996</v>
      </c>
    </row>
    <row r="39" spans="2:28" x14ac:dyDescent="0.45">
      <c r="B39" s="91">
        <f>+B38*1.1</f>
        <v>440.00000000000006</v>
      </c>
      <c r="C39" s="92">
        <f>+(C$26*$B39+$G$6*$G$4-$G$13-$G$17+$G$12-$B39*0.22)+Cotton!$G$37+Cotton!$G$42</f>
        <v>-117.04381199999996</v>
      </c>
      <c r="D39" s="93">
        <f>+(D$26*$B39+$G$6*$G$4-$G$13-$G$17+$G$12-$B39*0.22)+Cotton!$G$37+Cotton!$G$42</f>
        <v>-94.163811999999965</v>
      </c>
      <c r="E39" s="93">
        <f>+(E$26*$B39+$G$6*$G$4-$G$13-$G$17+$G$12-$B39*0.22)+Cotton!$G$37+Cotton!$G$42</f>
        <v>-71.283811999999955</v>
      </c>
      <c r="F39" s="93">
        <f>+(F$26*$B39+$G$6*$G$4-$G$13-$G$17+$G$12-$B39*0.22)+Cotton!$G$37+Cotton!$G$42</f>
        <v>-48.403811999999959</v>
      </c>
      <c r="G39" s="94">
        <f>+(G$26*$B39+$G$6*$G$4-$G$13-$G$17+$G$12-$B39*0.22)+Cotton!$G$37+Cotton!$G$42</f>
        <v>-25.523811999999964</v>
      </c>
      <c r="I39" s="91">
        <f>+I38*1.1</f>
        <v>1100</v>
      </c>
      <c r="J39" s="92">
        <f>+(J$26*$I39+$N$6*$N$4-$N$13-$N$17+$N$12-$I39*0.23)+'Irrigated Cotton'!$F$37+'Irrigated Cotton'!$F$42</f>
        <v>-158.79587600000002</v>
      </c>
      <c r="K39" s="93">
        <f>+(K$26*$I39+$N$6*$N$4-$N$13-$N$17+$N$12-$I39*0.23)+'Irrigated Cotton'!$F$37+'Irrigated Cotton'!$F$42</f>
        <v>-101.59587599999998</v>
      </c>
      <c r="L39" s="93">
        <f>+(L$26*$I39+$N$6*$N$4-$N$13-$N$17+$N$12-$I39*0.23)+'Irrigated Cotton'!$F$37+'Irrigated Cotton'!$F$42</f>
        <v>-44.395876000000037</v>
      </c>
      <c r="M39" s="93">
        <f>+(M$26*$I39+$N$6*$N$4-$N$13-$N$17+$N$12-$I39*0.23)+'Irrigated Cotton'!$F$37+'Irrigated Cotton'!$F$42</f>
        <v>12.804124000000009</v>
      </c>
      <c r="N39" s="94">
        <f>+(N$26*$I39+$N$6*$N$4-$N$13-$N$17+$N$12-$I39*0.23)+'Irrigated Cotton'!$F$37+'Irrigated Cotton'!$F$42</f>
        <v>70.004123999999933</v>
      </c>
      <c r="P39" s="91">
        <f>+P38*1.1</f>
        <v>176</v>
      </c>
      <c r="Q39" s="92">
        <f>+(Q$26*$P39-$U$13-$U$17+$U$12-$P39*0.43)+'Corn Irrigated'!$G$37+'Corn Irrigated'!$G$42</f>
        <v>-174.90401249999991</v>
      </c>
      <c r="R39" s="93">
        <f>+(R$26*$P39-$U$13-$U$17+$U$12-$P39*0.43)+'Corn Irrigated'!$G$37+'Corn Irrigated'!$G$42</f>
        <v>-115.06401249999988</v>
      </c>
      <c r="S39" s="93">
        <f>+(S$26*$P39-$U$13-$U$17+$U$12-$P39*0.43)+'Corn Irrigated'!$G$37+'Corn Irrigated'!$G$42</f>
        <v>-55.224012499999958</v>
      </c>
      <c r="T39" s="93">
        <f>+(T$26*$P39-$U$13-$U$17+$U$12-$P39*0.43)+'Corn Irrigated'!$G$37+'Corn Irrigated'!$G$42</f>
        <v>4.6159875000000739</v>
      </c>
      <c r="U39" s="94">
        <f>+(U$26*$P39-$U$13-$U$17+$U$12-$P39*0.43)+'Corn Irrigated'!$G$37+'Corn Irrigated'!$G$42</f>
        <v>64.455987500000106</v>
      </c>
      <c r="W39" s="91">
        <f>+W38*1.1</f>
        <v>27.500000000000004</v>
      </c>
      <c r="X39" s="92">
        <f>+(X$26*$W39-$AB$13-$AB$17+$AB$12-24+$W39*0.48)+Sorghum!$G$37+Sorghum!$G$42</f>
        <v>8.0796200000000198</v>
      </c>
      <c r="Y39" s="93">
        <f>+(Y$26*$W39-$AB$13-$AB$17+$AB$12-24+$W39*0.48)+Sorghum!$G$37+Sorghum!$G$42</f>
        <v>24.57962000000002</v>
      </c>
      <c r="Z39" s="93">
        <f>+(Z$26*$W39-$AB$13-$AB$17+$AB$12-24+$W39*0.48)+Sorghum!$G$37+Sorghum!$G$42</f>
        <v>41.07962000000002</v>
      </c>
      <c r="AA39" s="93">
        <f>+(AA$26*$W39-$AB$13-$AB$17+$AB$12-24+$W39*0.48)+Sorghum!$G$37+Sorghum!$G$42</f>
        <v>57.57962000000002</v>
      </c>
      <c r="AB39" s="94">
        <f>+(AB$26*$W39-$AB$13-$AB$17+$AB$12-24+$W39*0.48)+Sorghum!$G$37+Sorghum!$G$42</f>
        <v>74.079619999999991</v>
      </c>
    </row>
    <row r="40" spans="2:28" ht="14.65" thickBot="1" x14ac:dyDescent="0.5">
      <c r="B40" s="95">
        <f>+B38*1.2</f>
        <v>480</v>
      </c>
      <c r="C40" s="96">
        <f>+(C$26*$B40+$G$6*$G$4-$G$13-$G$17+$G$12-$B40*0.22)+Cotton!$G$37+Cotton!$G$42</f>
        <v>-109.20381200000001</v>
      </c>
      <c r="D40" s="97">
        <f>+(D$26*$B40+$G$6*$G$4-$G$13-$G$17+$G$12-$B40*0.22)+Cotton!$G$37+Cotton!$G$42</f>
        <v>-84.243812000000034</v>
      </c>
      <c r="E40" s="97">
        <f>+(E$26*$B40+$G$6*$G$4-$G$13-$G$17+$G$12-$B40*0.22)+Cotton!$G$37+Cotton!$G$42</f>
        <v>-59.283811999999983</v>
      </c>
      <c r="F40" s="97">
        <f>+(F$26*$B40+$G$6*$G$4-$G$13-$G$17+$G$12-$B40*0.22)+Cotton!$G$37+Cotton!$G$42</f>
        <v>-34.323811999999947</v>
      </c>
      <c r="G40" s="98">
        <f>+(G$26*$B40+$G$6*$G$4-$G$13-$G$17+$G$12-$B40*0.22)+Cotton!$G$37+Cotton!$G$42</f>
        <v>-9.3638120000000242</v>
      </c>
      <c r="I40" s="95">
        <f>+I38*1.2</f>
        <v>1200</v>
      </c>
      <c r="J40" s="96">
        <f>+(J$26*$I40+$N$6*$N$4-$N$13-$N$17+$N$12-$I40*0.23)+'Irrigated Cotton'!$F$37+'Irrigated Cotton'!$F$42</f>
        <v>-140.195876</v>
      </c>
      <c r="K40" s="97">
        <f>+(K$26*$I40+$N$6*$N$4-$N$13-$N$17+$N$12-$I40*0.23)+'Irrigated Cotton'!$F$37+'Irrigated Cotton'!$F$42</f>
        <v>-77.795876000000021</v>
      </c>
      <c r="L40" s="97">
        <f>+(L$26*$I40+$N$6*$N$4-$N$13-$N$17+$N$12-$I40*0.23)+'Irrigated Cotton'!$F$37+'Irrigated Cotton'!$F$42</f>
        <v>-15.395876000000037</v>
      </c>
      <c r="M40" s="97">
        <f>+(M$26*$I40+$N$6*$N$4-$N$13-$N$17+$N$12-$I40*0.23)+'Irrigated Cotton'!$F$37+'Irrigated Cotton'!$F$42</f>
        <v>47.004124000000054</v>
      </c>
      <c r="N40" s="98">
        <f>+(N$26*$I40+$N$6*$N$4-$N$13-$N$17+$N$12-$I40*0.23)+'Irrigated Cotton'!$F$37+'Irrigated Cotton'!$F$42</f>
        <v>109.40412399999991</v>
      </c>
      <c r="P40" s="95">
        <f>+P38*1.2</f>
        <v>192</v>
      </c>
      <c r="Q40" s="96">
        <f>+(Q$26*$P40-$U$13-$U$17+$U$12-$P40*0.43)+'Corn Irrigated'!$G$37+'Corn Irrigated'!$G$42</f>
        <v>-138.26401249999992</v>
      </c>
      <c r="R40" s="97">
        <f>+(R$26*$P40-$U$13-$U$17+$U$12-$P40*0.43)+'Corn Irrigated'!$G$37+'Corn Irrigated'!$G$42</f>
        <v>-72.984012499999949</v>
      </c>
      <c r="S40" s="97">
        <f>+(S$26*$P40-$U$13-$U$17+$U$12-$P40*0.43)+'Corn Irrigated'!$G$37+'Corn Irrigated'!$G$42</f>
        <v>-7.7040124999999904</v>
      </c>
      <c r="T40" s="97">
        <f>+(T$26*$P40-$U$13-$U$17+$U$12-$P40*0.43)+'Corn Irrigated'!$G$37+'Corn Irrigated'!$G$42</f>
        <v>57.575987500000096</v>
      </c>
      <c r="U40" s="98">
        <f>+(U$26*$P40-$U$13-$U$17+$U$12-$P40*0.43)+'Corn Irrigated'!$G$37+'Corn Irrigated'!$G$42</f>
        <v>122.85598750000007</v>
      </c>
      <c r="W40" s="95">
        <f>+W38*1.2</f>
        <v>30</v>
      </c>
      <c r="X40" s="96">
        <f>+(X$26*$W40-$AB$13-$AB$17+$AB$12-24+$W40*0.48)+Sorghum!$G$37+Sorghum!$G$42</f>
        <v>21.279620000000016</v>
      </c>
      <c r="Y40" s="97">
        <f>+(Y$26*$W40-$AB$13-$AB$17+$AB$12-24+$W40*0.48)+Sorghum!$G$37+Sorghum!$G$42</f>
        <v>39.279619999999987</v>
      </c>
      <c r="Z40" s="97">
        <f>+(Z$26*$W40-$AB$13-$AB$17+$AB$12-24+$W40*0.48)+Sorghum!$G$37+Sorghum!$G$42</f>
        <v>57.27961999999998</v>
      </c>
      <c r="AA40" s="97">
        <f>+(AA$26*$W40-$AB$13-$AB$17+$AB$12-24+$W40*0.48)+Sorghum!$G$37+Sorghum!$G$42</f>
        <v>75.279620000000008</v>
      </c>
      <c r="AB40" s="98">
        <f>+(AB$26*$W40-$AB$13-$AB$17+$AB$12-24+$W40*0.48)+Sorghum!$G$37+Sorghum!$G$42</f>
        <v>93.279619999999952</v>
      </c>
    </row>
    <row r="41" spans="2:28" ht="15" thickTop="1" thickBot="1" x14ac:dyDescent="0.5"/>
    <row r="42" spans="2:28" ht="15" thickTop="1" thickBot="1" x14ac:dyDescent="0.5">
      <c r="B42" s="140" t="s">
        <v>167</v>
      </c>
      <c r="C42" s="141"/>
      <c r="D42" s="141"/>
      <c r="E42" s="141"/>
      <c r="F42" s="141"/>
      <c r="G42" s="142"/>
      <c r="I42" s="140" t="s">
        <v>167</v>
      </c>
      <c r="J42" s="141"/>
      <c r="K42" s="141"/>
      <c r="L42" s="141"/>
      <c r="M42" s="141"/>
      <c r="N42" s="142"/>
      <c r="P42" s="140" t="s">
        <v>163</v>
      </c>
      <c r="Q42" s="141"/>
      <c r="R42" s="141"/>
      <c r="S42" s="141"/>
      <c r="T42" s="141"/>
      <c r="U42" s="142"/>
      <c r="W42" s="140" t="s">
        <v>167</v>
      </c>
      <c r="X42" s="141"/>
      <c r="Y42" s="141"/>
      <c r="Z42" s="141"/>
      <c r="AA42" s="141"/>
      <c r="AB42" s="142"/>
    </row>
    <row r="43" spans="2:28" ht="14.65" thickTop="1" x14ac:dyDescent="0.45">
      <c r="B43" s="85" t="s">
        <v>59</v>
      </c>
      <c r="C43" s="143" t="s">
        <v>161</v>
      </c>
      <c r="D43" s="144"/>
      <c r="E43" s="144" t="s">
        <v>61</v>
      </c>
      <c r="F43" s="144"/>
      <c r="G43" s="145"/>
      <c r="I43" s="85" t="s">
        <v>59</v>
      </c>
      <c r="J43" s="143" t="s">
        <v>161</v>
      </c>
      <c r="K43" s="144"/>
      <c r="L43" s="144" t="s">
        <v>61</v>
      </c>
      <c r="M43" s="144"/>
      <c r="N43" s="145"/>
      <c r="P43" s="85" t="s">
        <v>59</v>
      </c>
      <c r="Q43" s="143" t="s">
        <v>161</v>
      </c>
      <c r="R43" s="144"/>
      <c r="S43" s="144" t="s">
        <v>61</v>
      </c>
      <c r="T43" s="144"/>
      <c r="U43" s="145"/>
      <c r="W43" s="85" t="s">
        <v>59</v>
      </c>
      <c r="X43" s="143" t="s">
        <v>161</v>
      </c>
      <c r="Y43" s="144"/>
      <c r="Z43" s="144" t="s">
        <v>61</v>
      </c>
      <c r="AA43" s="144"/>
      <c r="AB43" s="145"/>
    </row>
    <row r="44" spans="2:28" ht="14.65" thickBot="1" x14ac:dyDescent="0.5">
      <c r="B44" s="86"/>
      <c r="C44" s="102">
        <f>+C35</f>
        <v>0.41600000000000004</v>
      </c>
      <c r="D44" s="103">
        <f>+D35</f>
        <v>0.46800000000000003</v>
      </c>
      <c r="E44" s="125">
        <f>+E35</f>
        <v>0.52</v>
      </c>
      <c r="F44" s="103">
        <f>+E44*1.1</f>
        <v>0.57200000000000006</v>
      </c>
      <c r="G44" s="104">
        <f>+E44*1.2</f>
        <v>0.624</v>
      </c>
      <c r="I44" s="86"/>
      <c r="J44" s="102">
        <f>+L44*0.8</f>
        <v>0.41600000000000004</v>
      </c>
      <c r="K44" s="103">
        <f>+L44*0.9</f>
        <v>0.46800000000000003</v>
      </c>
      <c r="L44" s="125">
        <f>+L35</f>
        <v>0.52</v>
      </c>
      <c r="M44" s="103">
        <f>+L44*1.1</f>
        <v>0.57200000000000006</v>
      </c>
      <c r="N44" s="104">
        <f>+L44*1.2</f>
        <v>0.624</v>
      </c>
      <c r="P44" s="86"/>
      <c r="Q44" s="102">
        <f>+S44*0.8</f>
        <v>2.72</v>
      </c>
      <c r="R44" s="103">
        <f>+S44*0.9</f>
        <v>3.06</v>
      </c>
      <c r="S44" s="125">
        <f>+S35</f>
        <v>3.4</v>
      </c>
      <c r="T44" s="103">
        <f>+S44*1.1</f>
        <v>3.74</v>
      </c>
      <c r="U44" s="104">
        <f>+S44*1.2</f>
        <v>4.08</v>
      </c>
      <c r="W44" s="86"/>
      <c r="X44" s="102">
        <f>+Z44*0.8</f>
        <v>4.8000000000000007</v>
      </c>
      <c r="Y44" s="103">
        <f>+Z44*0.9</f>
        <v>5.4</v>
      </c>
      <c r="Z44" s="125">
        <f>+Z35</f>
        <v>6</v>
      </c>
      <c r="AA44" s="103">
        <f>+Z44*1.1</f>
        <v>6.6000000000000005</v>
      </c>
      <c r="AB44" s="104">
        <f>+Z44*1.2</f>
        <v>7.1999999999999993</v>
      </c>
    </row>
    <row r="45" spans="2:28" ht="14.65" thickTop="1" x14ac:dyDescent="0.45">
      <c r="B45" s="87">
        <f>+B47*0.8</f>
        <v>320</v>
      </c>
      <c r="C45" s="88">
        <f>+(C$26*$B45+$G$6*$G$4-$G$13-$G$17+$G$12-$B45*0.22)+Cotton!$G$37+Cotton!$G$42+$G$3*0.12-$G$51</f>
        <v>-113.56381200000004</v>
      </c>
      <c r="D45" s="89">
        <f>+(D$26*$B45+$G$6*$G$4-$G$13-$G$17+$G$12-$B45*0.22)+Cotton!$G$37+Cotton!$G$42+$G$3*0.12-$G$51</f>
        <v>-96.923811999999984</v>
      </c>
      <c r="E45" s="89">
        <f>+(E$26*$B45+$G$6*$G$4-$G$13-$G$17+$G$12-$B45*0.22)+Cotton!$G$37+Cotton!$G$42+$G$3*0.12-$G$51</f>
        <v>-80.283811999999998</v>
      </c>
      <c r="F45" s="89">
        <f>+(F$26*$B45+$G$6*$G$4-$G$13-$G$17+$G$12-$B45*0.22)+Cotton!$G$37+Cotton!$G$42+$G$3*0.12-$G$51</f>
        <v>-63.643812000000011</v>
      </c>
      <c r="G45" s="90">
        <f>+(G$26*$B45+$G$6*$G$4-$G$13-$G$17+$G$12-$B45*0.22)+Cotton!$G$37+Cotton!$G$42+$G$3*0.12-$G$51</f>
        <v>-47.003812000000025</v>
      </c>
      <c r="I45" s="87">
        <f>+I47*0.8</f>
        <v>800</v>
      </c>
      <c r="J45" s="88">
        <f>+(J$26*$I45+$N$6*$N$4-$N$13-$N$17+$N$12-$I45*0.23)+'Irrigated Cotton'!$F$37+'Irrigated Cotton'!$F$42+$N$3*0.13-$N$51</f>
        <v>-112.59587600000003</v>
      </c>
      <c r="K45" s="89">
        <f>+(K$26*$I45+$N$6*$N$4-$N$13-$N$17+$N$12-$I45*0.23)+'Irrigated Cotton'!$F$37+'Irrigated Cotton'!$F$42+$N$3*0.13-$N$51</f>
        <v>-70.99587600000001</v>
      </c>
      <c r="L45" s="89">
        <f>+(L$26*$I45+$N$6*$N$4-$N$13-$N$17+$N$12-$I45*0.23)+'Irrigated Cotton'!$F$37+'Irrigated Cotton'!$F$42+$N$3*0.13-$N$51</f>
        <v>-29.395876000000044</v>
      </c>
      <c r="M45" s="89">
        <f>+(M$26*$I45+$N$6*$N$4-$N$13-$N$17+$N$12-$I45*0.23)+'Irrigated Cotton'!$F$37+'Irrigated Cotton'!$F$42+$N$3*0.13-$N$51</f>
        <v>12.204123999999979</v>
      </c>
      <c r="N45" s="90">
        <f>+(N$26*$I45+$N$6*$N$4-$N$13-$N$17+$N$12-$I45*0.23)+'Irrigated Cotton'!$F$37+'Irrigated Cotton'!$F$42+$N$3*0.13-$N$51</f>
        <v>53.804124000000002</v>
      </c>
      <c r="P45" s="87">
        <f>+P47*0.8</f>
        <v>128</v>
      </c>
      <c r="Q45" s="88">
        <f>+(Q$26*$P45-$U$13-$U$17+$U$12-$P45*0.43)+'Corn Irrigated'!$G$37+'Corn Irrigated'!$G$42+$U$12-$U$51</f>
        <v>-251.02401249999986</v>
      </c>
      <c r="R45" s="89">
        <f>+(R$26*$P45-$U$13-$U$17+$U$12-$P45*0.43)+'Corn Irrigated'!$G$37+'Corn Irrigated'!$G$42+$U$12-$U$51</f>
        <v>-207.50401249999993</v>
      </c>
      <c r="S45" s="89">
        <f>+(S$26*$P45-$U$13-$U$17+$U$12-$P45*0.43)+'Corn Irrigated'!$G$37+'Corn Irrigated'!$G$42+$U$12-$U$51</f>
        <v>-163.98401249999995</v>
      </c>
      <c r="T45" s="89">
        <f>+(T$26*$P45-$U$13-$U$17+$U$12-$P45*0.43)+'Corn Irrigated'!$G$37+'Corn Irrigated'!$G$42+$U$12-$U$51</f>
        <v>-120.46401249999992</v>
      </c>
      <c r="U45" s="90">
        <f>+(U$26*$P45-$U$13-$U$17+$U$12-$P45*0.43)+'Corn Irrigated'!$G$37+'Corn Irrigated'!$G$42+$U$12-$U$51</f>
        <v>-76.944012499999914</v>
      </c>
      <c r="W45" s="87">
        <f>+W47*0.8</f>
        <v>20</v>
      </c>
      <c r="X45" s="88">
        <f>+(X$26*$W45-$AB$13-$AB$17+$AB$12-24+$W45*0.48)+Sorghum!$G$37+Sorghum!$G$42+$AB$12-$AB$51</f>
        <v>-12.32038</v>
      </c>
      <c r="Y45" s="89">
        <f>+(Y$26*$W45-$AB$13-$AB$17+$AB$12-24+$W45*0.48)+Sorghum!$G$37+Sorghum!$G$42+$AB$12-$AB$51</f>
        <v>-0.32038000000001077</v>
      </c>
      <c r="Z45" s="89">
        <f>+(Z$26*$W45-$AB$13-$AB$17+$AB$12-24+$W45*0.48)+Sorghum!$G$37+Sorghum!$G$42+$AB$12-$AB$51</f>
        <v>11.679619999999989</v>
      </c>
      <c r="AA45" s="89">
        <f>+(AA$26*$W45-$AB$13-$AB$17+$AB$12-24+$W45*0.48)+Sorghum!$G$37+Sorghum!$G$42+$AB$12-$AB$51</f>
        <v>23.679619999999989</v>
      </c>
      <c r="AB45" s="90">
        <f>+(AB$26*$W45-$AB$13-$AB$17+$AB$12-24+$W45*0.48)+Sorghum!$G$37+Sorghum!$G$42+$AB$12-$AB$51</f>
        <v>35.679619999999986</v>
      </c>
    </row>
    <row r="46" spans="2:28" x14ac:dyDescent="0.45">
      <c r="B46" s="91">
        <f>+B47*0.9</f>
        <v>360</v>
      </c>
      <c r="C46" s="92">
        <f>+(C$26*$B46+$G$6*$G$4-$G$13-$G$17+$G$12-$B46*0.22)+Cotton!$G$37+Cotton!$G$42+$G$3*0.12-$G$51</f>
        <v>-105.72381199999995</v>
      </c>
      <c r="D46" s="93">
        <f>+(D$26*$B46+$G$6*$G$4-$G$13-$G$17+$G$12-$B46*0.22)+Cotton!$G$37+Cotton!$G$42+$G$3*0.12-$G$51</f>
        <v>-87.003811999999996</v>
      </c>
      <c r="E46" s="93">
        <f>+(E$26*$B46+$G$6*$G$4-$G$13-$G$17+$G$12-$B46*0.22)+Cotton!$G$37+Cotton!$G$42+$G$3*0.12-$G$51</f>
        <v>-68.283811999999969</v>
      </c>
      <c r="F46" s="93">
        <f>+(F$26*$B46+$G$6*$G$4-$G$13-$G$17+$G$12-$B46*0.22)+Cotton!$G$37+Cotton!$G$42+$G$3*0.12-$G$51</f>
        <v>-49.563812000000013</v>
      </c>
      <c r="G46" s="94">
        <f>+(G$26*$B46+$G$6*$G$4-$G$13-$G$17+$G$12-$B46*0.22)+Cotton!$G$37+Cotton!$G$42+$G$3*0.12-$G$51</f>
        <v>-30.843812000000042</v>
      </c>
      <c r="I46" s="91">
        <f>+I47*0.9</f>
        <v>900</v>
      </c>
      <c r="J46" s="92">
        <f>+(J$26*$I46+$N$6*$N$4-$N$13-$N$17+$N$12-$I46*0.23)+'Irrigated Cotton'!$F$37+'Irrigated Cotton'!$F$42+$N$3*0.13-$N$51</f>
        <v>-93.99587600000001</v>
      </c>
      <c r="K46" s="93">
        <f>+(K$26*$I46+$N$6*$N$4-$N$13-$N$17+$N$12-$I46*0.23)+'Irrigated Cotton'!$F$37+'Irrigated Cotton'!$F$42+$N$3*0.13-$N$51</f>
        <v>-47.195875999999998</v>
      </c>
      <c r="L46" s="93">
        <f>+(L$26*$I46+$N$6*$N$4-$N$13-$N$17+$N$12-$I46*0.23)+'Irrigated Cotton'!$F$37+'Irrigated Cotton'!$F$42+$N$3*0.13-$N$51</f>
        <v>-0.39587600000004386</v>
      </c>
      <c r="M46" s="93">
        <f>+(M$26*$I46+$N$6*$N$4-$N$13-$N$17+$N$12-$I46*0.23)+'Irrigated Cotton'!$F$37+'Irrigated Cotton'!$F$42+$N$3*0.13-$N$51</f>
        <v>46.404124000000024</v>
      </c>
      <c r="N46" s="94">
        <f>+(N$26*$I46+$N$6*$N$4-$N$13-$N$17+$N$12-$I46*0.23)+'Irrigated Cotton'!$F$37+'Irrigated Cotton'!$F$42+$N$3*0.13-$N$51</f>
        <v>93.204123999999979</v>
      </c>
      <c r="P46" s="91">
        <f>+P47*0.9</f>
        <v>144</v>
      </c>
      <c r="Q46" s="92">
        <f>+(Q$26*$P46-$U$13-$U$17+$U$12-$P46*0.43)+'Corn Irrigated'!$G$37+'Corn Irrigated'!$G$42+$U$12-$U$51</f>
        <v>-214.38401249999993</v>
      </c>
      <c r="R46" s="93">
        <f>+(R$26*$P46-$U$13-$U$17+$U$12-$P46*0.43)+'Corn Irrigated'!$G$37+'Corn Irrigated'!$G$42+$U$12-$U$51</f>
        <v>-165.42401249999995</v>
      </c>
      <c r="S46" s="93">
        <f>+(S$26*$P46-$U$13-$U$17+$U$12-$P46*0.43)+'Corn Irrigated'!$G$37+'Corn Irrigated'!$G$42+$U$12-$U$51</f>
        <v>-116.46401249999998</v>
      </c>
      <c r="T46" s="93">
        <f>+(T$26*$P46-$U$13-$U$17+$U$12-$P46*0.43)+'Corn Irrigated'!$G$37+'Corn Irrigated'!$G$42+$U$12-$U$51</f>
        <v>-67.504012499999888</v>
      </c>
      <c r="U46" s="94">
        <f>+(U$26*$P46-$U$13-$U$17+$U$12-$P46*0.43)+'Corn Irrigated'!$G$37+'Corn Irrigated'!$G$42+$U$12-$U$51</f>
        <v>-18.544012499999965</v>
      </c>
      <c r="W46" s="91">
        <f>+W47*0.9</f>
        <v>22.5</v>
      </c>
      <c r="X46" s="92">
        <f>+(X$26*$W46-$AB$13-$AB$17+$AB$12-24+$W46*0.48)+Sorghum!$G$37+Sorghum!$G$42+$AB$12-$AB$51</f>
        <v>0.87961999999999918</v>
      </c>
      <c r="Y46" s="93">
        <f>+(Y$26*$W46-$AB$13-$AB$17+$AB$12-24+$W46*0.48)+Sorghum!$G$37+Sorghum!$G$42+$AB$12-$AB$51</f>
        <v>14.379619999999999</v>
      </c>
      <c r="Z46" s="93">
        <f>+(Z$26*$W46-$AB$13-$AB$17+$AB$12-24+$W46*0.48)+Sorghum!$G$37+Sorghum!$G$42+$AB$12-$AB$51</f>
        <v>27.879619999999985</v>
      </c>
      <c r="AA46" s="93">
        <f>+(AA$26*$W46-$AB$13-$AB$17+$AB$12-24+$W46*0.48)+Sorghum!$G$37+Sorghum!$G$42+$AB$12-$AB$51</f>
        <v>41.379619999999989</v>
      </c>
      <c r="AB46" s="94">
        <f>+(AB$26*$W46-$AB$13-$AB$17+$AB$12-24+$W46*0.48)+Sorghum!$G$37+Sorghum!$G$42+$AB$12-$AB$51</f>
        <v>54.87961999999996</v>
      </c>
    </row>
    <row r="47" spans="2:28" x14ac:dyDescent="0.45">
      <c r="B47" s="115">
        <f>+B38</f>
        <v>400</v>
      </c>
      <c r="C47" s="92">
        <f>+(C$26*$B47+$G$6*$G$4-$G$13-$G$17+$G$12-$B47*0.22)+Cotton!$G$37+Cotton!$G$42+$G$3*0.12-$G$51</f>
        <v>-97.883811999999992</v>
      </c>
      <c r="D47" s="93">
        <f>+(D$26*$B47+$G$6*$G$4-$G$13-$G$17+$G$12-$B47*0.22)+Cotton!$G$37+Cotton!$G$42+$G$3*0.12-$G$51</f>
        <v>-77.08381199999998</v>
      </c>
      <c r="E47" s="93">
        <f>+(E$26*$B47+$G$6*$G$4-$G$13-$G$17+$G$12-$B47*0.22)+Cotton!$G$37+Cotton!$G$42+$G$3*0.12-$G$51</f>
        <v>-56.283812000000026</v>
      </c>
      <c r="F47" s="93">
        <f>+(F$26*$B47+$G$6*$G$4-$G$13-$G$17+$G$12-$B47*0.22)+Cotton!$G$37+Cotton!$G$42+$G$3*0.12-$G$51</f>
        <v>-35.483812</v>
      </c>
      <c r="G47" s="94">
        <f>+(G$26*$B47+$G$6*$G$4-$G$13-$G$17+$G$12-$B47*0.22)+Cotton!$G$37+Cotton!$G$42+$G$3*0.12-$G$51</f>
        <v>-14.683811999999989</v>
      </c>
      <c r="I47" s="115">
        <f>+I38</f>
        <v>1000</v>
      </c>
      <c r="J47" s="92">
        <f>+(J$26*$I47+$N$6*$N$4-$N$13-$N$17+$N$12-$I47*0.23)+'Irrigated Cotton'!$F$37+'Irrigated Cotton'!$F$42+$N$3*0.13-$N$51</f>
        <v>-75.395876000000044</v>
      </c>
      <c r="K47" s="93">
        <f>+(K$26*$I47+$N$6*$N$4-$N$13-$N$17+$N$12-$I47*0.23)+'Irrigated Cotton'!$F$37+'Irrigated Cotton'!$F$42+$N$3*0.13-$N$51</f>
        <v>-23.395876000000044</v>
      </c>
      <c r="L47" s="93">
        <f>+(L$26*$I47+$N$6*$N$4-$N$13-$N$17+$N$12-$I47*0.23)+'Irrigated Cotton'!$F$37+'Irrigated Cotton'!$F$42+$N$3*0.13-$N$51</f>
        <v>28.604123999999956</v>
      </c>
      <c r="M47" s="93">
        <f>+(M$26*$I47+$N$6*$N$4-$N$13-$N$17+$N$12-$I47*0.23)+'Irrigated Cotton'!$F$37+'Irrigated Cotton'!$F$42+$N$3*0.13-$N$51</f>
        <v>80.60412400000007</v>
      </c>
      <c r="N47" s="94">
        <f>+(N$26*$I47+$N$6*$N$4-$N$13-$N$17+$N$12-$I47*0.23)+'Irrigated Cotton'!$F$37+'Irrigated Cotton'!$F$42+$N$3*0.13-$N$51</f>
        <v>132.60412399999996</v>
      </c>
      <c r="P47" s="115">
        <f>+P38</f>
        <v>160</v>
      </c>
      <c r="Q47" s="92">
        <f>+(Q$26*$P47-$U$13-$U$17+$U$12-$P47*0.43)+'Corn Irrigated'!$G$37+'Corn Irrigated'!$G$42+$U$12-$U$51</f>
        <v>-177.74401249999988</v>
      </c>
      <c r="R47" s="93">
        <f>+(R$26*$P47-$U$13-$U$17+$U$12-$P47*0.43)+'Corn Irrigated'!$G$37+'Corn Irrigated'!$G$42+$U$12-$U$51</f>
        <v>-123.34401249999992</v>
      </c>
      <c r="S47" s="93">
        <f>+(S$26*$P47-$U$13-$U$17+$U$12-$P47*0.43)+'Corn Irrigated'!$G$37+'Corn Irrigated'!$G$42+$U$12-$U$51</f>
        <v>-68.944012499999943</v>
      </c>
      <c r="T47" s="93">
        <f>+(T$26*$P47-$U$13-$U$17+$U$12-$P47*0.43)+'Corn Irrigated'!$G$37+'Corn Irrigated'!$G$42+$U$12-$U$51</f>
        <v>-14.544012499999852</v>
      </c>
      <c r="U47" s="94">
        <f>+(U$26*$P47-$U$13-$U$17+$U$12-$P47*0.43)+'Corn Irrigated'!$G$37+'Corn Irrigated'!$G$42+$U$12-$U$51</f>
        <v>39.855987500000012</v>
      </c>
      <c r="W47" s="115">
        <f>+W38</f>
        <v>25</v>
      </c>
      <c r="X47" s="92">
        <f>+(X$26*$W47-$AB$13-$AB$17+$AB$12-24+$W47*0.48)+Sorghum!$G$37+Sorghum!$G$42+$AB$12-$AB$51</f>
        <v>14.079620000000002</v>
      </c>
      <c r="Y47" s="93">
        <f>+(Y$26*$W47-$AB$13-$AB$17+$AB$12-24+$W47*0.48)+Sorghum!$G$37+Sorghum!$G$42+$AB$12-$AB$51</f>
        <v>29.079619999999988</v>
      </c>
      <c r="Z47" s="93">
        <f>+(Z$26*$W47-$AB$13-$AB$17+$AB$12-24+$W47*0.48)+Sorghum!$G$37+Sorghum!$G$42+$AB$12-$AB$51</f>
        <v>44.079619999999991</v>
      </c>
      <c r="AA47" s="93">
        <f>+(AA$26*$W47-$AB$13-$AB$17+$AB$12-24+$W47*0.48)+Sorghum!$G$37+Sorghum!$G$42+$AB$12-$AB$51</f>
        <v>59.079619999999991</v>
      </c>
      <c r="AB47" s="94">
        <f>+(AB$26*$W47-$AB$13-$AB$17+$AB$12-24+$W47*0.48)+Sorghum!$G$37+Sorghum!$G$42+$AB$12-$AB$51</f>
        <v>74.079619999999963</v>
      </c>
    </row>
    <row r="48" spans="2:28" x14ac:dyDescent="0.45">
      <c r="B48" s="91">
        <f>+B47*1.1</f>
        <v>440.00000000000006</v>
      </c>
      <c r="C48" s="92">
        <f>+(C$26*$B48+$G$6*$G$4-$G$13-$G$17+$G$12-$B48*0.22)+Cotton!$G$37+Cotton!$G$42+$G$3*0.12-$G$51</f>
        <v>-90.04381199999996</v>
      </c>
      <c r="D48" s="93">
        <f>+(D$26*$B48+$G$6*$G$4-$G$13-$G$17+$G$12-$B48*0.22)+Cotton!$G$37+Cotton!$G$42+$G$3*0.12-$G$51</f>
        <v>-67.163811999999965</v>
      </c>
      <c r="E48" s="93">
        <f>+(E$26*$B48+$G$6*$G$4-$G$13-$G$17+$G$12-$B48*0.22)+Cotton!$G$37+Cotton!$G$42+$G$3*0.12-$G$51</f>
        <v>-44.283811999999955</v>
      </c>
      <c r="F48" s="93">
        <f>+(F$26*$B48+$G$6*$G$4-$G$13-$G$17+$G$12-$B48*0.22)+Cotton!$G$37+Cotton!$G$42+$G$3*0.12-$G$51</f>
        <v>-21.403811999999959</v>
      </c>
      <c r="G48" s="94">
        <f>+(G$26*$B48+$G$6*$G$4-$G$13-$G$17+$G$12-$B48*0.22)+Cotton!$G$37+Cotton!$G$42+$G$3*0.12-$G$51</f>
        <v>1.476188000000036</v>
      </c>
      <c r="I48" s="91">
        <f>+I47*1.1</f>
        <v>1100</v>
      </c>
      <c r="J48" s="92">
        <f>+(J$26*$I48+$N$6*$N$4-$N$13-$N$17+$N$12-$I48*0.23)+'Irrigated Cotton'!$F$37+'Irrigated Cotton'!$F$42+$N$3*0.13-$N$51</f>
        <v>-56.795876000000021</v>
      </c>
      <c r="K48" s="93">
        <f>+(K$26*$I48+$N$6*$N$4-$N$13-$N$17+$N$12-$I48*0.23)+'Irrigated Cotton'!$F$37+'Irrigated Cotton'!$F$42+$N$3*0.13-$N$51</f>
        <v>0.40412400000002435</v>
      </c>
      <c r="L48" s="93">
        <f>+(L$26*$I48+$N$6*$N$4-$N$13-$N$17+$N$12-$I48*0.23)+'Irrigated Cotton'!$F$37+'Irrigated Cotton'!$F$42+$N$3*0.13-$N$51</f>
        <v>57.604123999999956</v>
      </c>
      <c r="M48" s="93">
        <f>+(M$26*$I48+$N$6*$N$4-$N$13-$N$17+$N$12-$I48*0.23)+'Irrigated Cotton'!$F$37+'Irrigated Cotton'!$F$42+$N$3*0.13-$N$51</f>
        <v>114.804124</v>
      </c>
      <c r="N48" s="94">
        <f>+(N$26*$I48+$N$6*$N$4-$N$13-$N$17+$N$12-$I48*0.23)+'Irrigated Cotton'!$F$37+'Irrigated Cotton'!$F$42+$N$3*0.13-$N$51</f>
        <v>172.00412399999993</v>
      </c>
      <c r="P48" s="91">
        <f>+P47*1.1</f>
        <v>176</v>
      </c>
      <c r="Q48" s="92">
        <f>+(Q$26*$P48-$U$13-$U$17+$U$12-$P48*0.43)+'Corn Irrigated'!$G$37+'Corn Irrigated'!$G$42+$U$12-$U$51</f>
        <v>-141.1040124999999</v>
      </c>
      <c r="R48" s="93">
        <f>+(R$26*$P48-$U$13-$U$17+$U$12-$P48*0.43)+'Corn Irrigated'!$G$37+'Corn Irrigated'!$G$42+$U$12-$U$51</f>
        <v>-81.264012499999879</v>
      </c>
      <c r="S48" s="93">
        <f>+(S$26*$P48-$U$13-$U$17+$U$12-$P48*0.43)+'Corn Irrigated'!$G$37+'Corn Irrigated'!$G$42+$U$12-$U$51</f>
        <v>-21.424012499999961</v>
      </c>
      <c r="T48" s="93">
        <f>+(T$26*$P48-$U$13-$U$17+$U$12-$P48*0.43)+'Corn Irrigated'!$G$37+'Corn Irrigated'!$G$42+$U$12-$U$51</f>
        <v>38.415987500000071</v>
      </c>
      <c r="U48" s="94">
        <f>+(U$26*$P48-$U$13-$U$17+$U$12-$P48*0.43)+'Corn Irrigated'!$G$37+'Corn Irrigated'!$G$42+$U$12-$U$51</f>
        <v>98.255987500000117</v>
      </c>
      <c r="W48" s="91">
        <f>+W47*1.1</f>
        <v>27.500000000000004</v>
      </c>
      <c r="X48" s="92">
        <f>+(X$26*$W48-$AB$13-$AB$17+$AB$12-24+$W48*0.48)+Sorghum!$G$37+Sorghum!$G$42+$AB$12-$AB$51</f>
        <v>27.279620000000019</v>
      </c>
      <c r="Y48" s="93">
        <f>+(Y$26*$W48-$AB$13-$AB$17+$AB$12-24+$W48*0.48)+Sorghum!$G$37+Sorghum!$G$42+$AB$12-$AB$51</f>
        <v>43.779620000000023</v>
      </c>
      <c r="Z48" s="93">
        <f>+(Z$26*$W48-$AB$13-$AB$17+$AB$12-24+$W48*0.48)+Sorghum!$G$37+Sorghum!$G$42+$AB$12-$AB$51</f>
        <v>60.279620000000023</v>
      </c>
      <c r="AA48" s="93">
        <f>+(AA$26*$W48-$AB$13-$AB$17+$AB$12-24+$W48*0.48)+Sorghum!$G$37+Sorghum!$G$42+$AB$12-$AB$51</f>
        <v>76.779620000000023</v>
      </c>
      <c r="AB48" s="94">
        <f>+(AB$26*$W48-$AB$13-$AB$17+$AB$12-24+$W48*0.48)+Sorghum!$G$37+Sorghum!$G$42+$AB$12-$AB$51</f>
        <v>93.279619999999994</v>
      </c>
    </row>
    <row r="49" spans="2:28" ht="14.65" thickBot="1" x14ac:dyDescent="0.5">
      <c r="B49" s="95">
        <f>+B47*1.2</f>
        <v>480</v>
      </c>
      <c r="C49" s="96">
        <f>+(C$26*$B49+$G$6*$G$4-$G$13-$G$17+$G$12-$B49*0.22)+Cotton!$G$37+Cotton!$G$42+$G$3*0.12-$G$51</f>
        <v>-82.203812000000013</v>
      </c>
      <c r="D49" s="97">
        <f>+(D$26*$B49+$G$6*$G$4-$G$13-$G$17+$G$12-$B49*0.22)+Cotton!$G$37+Cotton!$G$42+$G$3*0.12-$G$51</f>
        <v>-57.243812000000034</v>
      </c>
      <c r="E49" s="97">
        <f>+(E$26*$B49+$G$6*$G$4-$G$13-$G$17+$G$12-$B49*0.22)+Cotton!$G$37+Cotton!$G$42+$G$3*0.12-$G$51</f>
        <v>-32.283811999999983</v>
      </c>
      <c r="F49" s="97">
        <f>+(F$26*$B49+$G$6*$G$4-$G$13-$G$17+$G$12-$B49*0.22)+Cotton!$G$37+Cotton!$G$42+$G$3*0.12-$G$51</f>
        <v>-7.3238119999999469</v>
      </c>
      <c r="G49" s="98">
        <f>+(G$26*$B49+$G$6*$G$4-$G$13-$G$17+$G$12-$B49*0.22)+Cotton!$G$37+Cotton!$G$42+$G$3*0.12-$G$51</f>
        <v>17.636187999999976</v>
      </c>
      <c r="I49" s="95">
        <f>+I47*1.2</f>
        <v>1200</v>
      </c>
      <c r="J49" s="96">
        <f>+(J$26*$I49+$N$6*$N$4-$N$13-$N$17+$N$12-$I49*0.23)+'Irrigated Cotton'!$F$37+'Irrigated Cotton'!$F$42+$N$3*0.13-$N$51</f>
        <v>-38.195875999999998</v>
      </c>
      <c r="K49" s="97">
        <f>+(K$26*$I49+$N$6*$N$4-$N$13-$N$17+$N$12-$I49*0.23)+'Irrigated Cotton'!$F$37+'Irrigated Cotton'!$F$42+$N$3*0.13-$N$51</f>
        <v>24.204123999999979</v>
      </c>
      <c r="L49" s="97">
        <f>+(L$26*$I49+$N$6*$N$4-$N$13-$N$17+$N$12-$I49*0.23)+'Irrigated Cotton'!$F$37+'Irrigated Cotton'!$F$42+$N$3*0.13-$N$51</f>
        <v>86.604123999999956</v>
      </c>
      <c r="M49" s="97">
        <f>+(M$26*$I49+$N$6*$N$4-$N$13-$N$17+$N$12-$I49*0.23)+'Irrigated Cotton'!$F$37+'Irrigated Cotton'!$F$42+$N$3*0.13-$N$51</f>
        <v>149.00412400000005</v>
      </c>
      <c r="N49" s="98">
        <f>+(N$26*$I49+$N$6*$N$4-$N$13-$N$17+$N$12-$I49*0.23)+'Irrigated Cotton'!$F$37+'Irrigated Cotton'!$F$42+$N$3*0.13-$N$51</f>
        <v>211.40412399999991</v>
      </c>
      <c r="P49" s="95">
        <f>+P47*1.2</f>
        <v>192</v>
      </c>
      <c r="Q49" s="96">
        <f>+(Q$26*$P49-$U$13-$U$17+$U$12-$P49*0.43)+'Corn Irrigated'!$G$37+'Corn Irrigated'!$G$42+$U$12-$U$51</f>
        <v>-104.46401249999992</v>
      </c>
      <c r="R49" s="97">
        <f>+(R$26*$P49-$U$13-$U$17+$U$12-$P49*0.43)+'Corn Irrigated'!$G$37+'Corn Irrigated'!$G$42+$U$12-$U$51</f>
        <v>-39.184012499999952</v>
      </c>
      <c r="S49" s="97">
        <f>+(S$26*$P49-$U$13-$U$17+$U$12-$P49*0.43)+'Corn Irrigated'!$G$37+'Corn Irrigated'!$G$42+$U$12-$U$51</f>
        <v>26.095987500000007</v>
      </c>
      <c r="T49" s="97">
        <f>+(T$26*$P49-$U$13-$U$17+$U$12-$P49*0.43)+'Corn Irrigated'!$G$37+'Corn Irrigated'!$G$42+$U$12-$U$51</f>
        <v>91.375987500000093</v>
      </c>
      <c r="U49" s="98">
        <f>+(U$26*$P49-$U$13-$U$17+$U$12-$P49*0.43)+'Corn Irrigated'!$G$37+'Corn Irrigated'!$G$42+$U$12-$U$51</f>
        <v>156.65598750000007</v>
      </c>
      <c r="W49" s="95">
        <f>+W47*1.2</f>
        <v>30</v>
      </c>
      <c r="X49" s="96">
        <f>+(X$26*$W49-$AB$13-$AB$17+$AB$12-24+$W49*0.48)+Sorghum!$G$37+Sorghum!$G$42+$AB$12-$AB$51</f>
        <v>40.479620000000011</v>
      </c>
      <c r="Y49" s="97">
        <f>+(Y$26*$W49-$AB$13-$AB$17+$AB$12-24+$W49*0.48)+Sorghum!$G$37+Sorghum!$G$42+$AB$12-$AB$51</f>
        <v>58.479619999999997</v>
      </c>
      <c r="Z49" s="97">
        <f>+(Z$26*$W49-$AB$13-$AB$17+$AB$12-24+$W49*0.48)+Sorghum!$G$37+Sorghum!$G$42+$AB$12-$AB$51</f>
        <v>76.479619999999983</v>
      </c>
      <c r="AA49" s="97">
        <f>+(AA$26*$W49-$AB$13-$AB$17+$AB$12-24+$W49*0.48)+Sorghum!$G$37+Sorghum!$G$42+$AB$12-$AB$51</f>
        <v>94.479620000000011</v>
      </c>
      <c r="AB49" s="98">
        <f>+(AB$26*$W49-$AB$13-$AB$17+$AB$12-24+$W49*0.48)+Sorghum!$G$37+Sorghum!$G$42+$AB$12-$AB$51</f>
        <v>112.47961999999997</v>
      </c>
    </row>
    <row r="50" spans="2:28" ht="14.65" thickTop="1" x14ac:dyDescent="0.45"/>
    <row r="51" spans="2:28" x14ac:dyDescent="0.45">
      <c r="B51" s="1" t="s">
        <v>162</v>
      </c>
      <c r="G51" s="129">
        <v>21</v>
      </c>
      <c r="I51" s="1" t="s">
        <v>162</v>
      </c>
      <c r="N51" s="129">
        <v>28</v>
      </c>
      <c r="P51" s="1" t="s">
        <v>162</v>
      </c>
      <c r="U51" s="129">
        <v>35</v>
      </c>
      <c r="W51" s="1" t="s">
        <v>162</v>
      </c>
      <c r="AB51" s="129">
        <v>16.8</v>
      </c>
    </row>
  </sheetData>
  <mergeCells count="28">
    <mergeCell ref="B24:G24"/>
    <mergeCell ref="C25:G25"/>
    <mergeCell ref="P2:U2"/>
    <mergeCell ref="W2:AB2"/>
    <mergeCell ref="I24:N24"/>
    <mergeCell ref="P24:U24"/>
    <mergeCell ref="W24:AB24"/>
    <mergeCell ref="J25:N25"/>
    <mergeCell ref="Q25:U25"/>
    <mergeCell ref="X25:AB25"/>
    <mergeCell ref="I2:N2"/>
    <mergeCell ref="B2:G2"/>
    <mergeCell ref="W33:AB33"/>
    <mergeCell ref="X34:AB34"/>
    <mergeCell ref="B42:G42"/>
    <mergeCell ref="C43:G43"/>
    <mergeCell ref="I42:N42"/>
    <mergeCell ref="J43:N43"/>
    <mergeCell ref="P42:U42"/>
    <mergeCell ref="Q43:U43"/>
    <mergeCell ref="W42:AB42"/>
    <mergeCell ref="X43:AB43"/>
    <mergeCell ref="B33:G33"/>
    <mergeCell ref="C34:G34"/>
    <mergeCell ref="I33:N33"/>
    <mergeCell ref="J34:N34"/>
    <mergeCell ref="P33:U33"/>
    <mergeCell ref="Q34:U34"/>
  </mergeCells>
  <conditionalFormatting sqref="C27:G31">
    <cfRule type="colorScale" priority="41">
      <colorScale>
        <cfvo type="min"/>
        <cfvo type="max"/>
        <color theme="0" tint="-4.9989318521683403E-2"/>
        <color theme="0" tint="-0.34998626667073579"/>
      </colorScale>
    </cfRule>
    <cfRule type="colorScale" priority="42">
      <colorScale>
        <cfvo type="min"/>
        <cfvo type="max"/>
        <color rgb="FFFCFCFF"/>
        <color rgb="FF63BE7B"/>
      </colorScale>
    </cfRule>
  </conditionalFormatting>
  <conditionalFormatting sqref="J27:N31">
    <cfRule type="colorScale" priority="39">
      <colorScale>
        <cfvo type="min"/>
        <cfvo type="max"/>
        <color theme="0" tint="-4.9989318521683403E-2"/>
        <color theme="0" tint="-0.34998626667073579"/>
      </colorScale>
    </cfRule>
    <cfRule type="colorScale" priority="40">
      <colorScale>
        <cfvo type="min"/>
        <cfvo type="max"/>
        <color rgb="FFFCFCFF"/>
        <color rgb="FF63BE7B"/>
      </colorScale>
    </cfRule>
  </conditionalFormatting>
  <conditionalFormatting sqref="Q27:U31">
    <cfRule type="colorScale" priority="37">
      <colorScale>
        <cfvo type="min"/>
        <cfvo type="max"/>
        <color theme="0" tint="-4.9989318521683403E-2"/>
        <color theme="0" tint="-0.34998626667073579"/>
      </colorScale>
    </cfRule>
    <cfRule type="colorScale" priority="38">
      <colorScale>
        <cfvo type="min"/>
        <cfvo type="max"/>
        <color rgb="FFFCFCFF"/>
        <color rgb="FF63BE7B"/>
      </colorScale>
    </cfRule>
  </conditionalFormatting>
  <conditionalFormatting sqref="X27:AB31">
    <cfRule type="colorScale" priority="33">
      <colorScale>
        <cfvo type="min"/>
        <cfvo type="max"/>
        <color theme="0" tint="-4.9989318521683403E-2"/>
        <color theme="0" tint="-0.34998626667073579"/>
      </colorScale>
    </cfRule>
    <cfRule type="colorScale" priority="34">
      <colorScale>
        <cfvo type="min"/>
        <cfvo type="max"/>
        <color rgb="FFFCFCFF"/>
        <color rgb="FF63BE7B"/>
      </colorScale>
    </cfRule>
  </conditionalFormatting>
  <conditionalFormatting sqref="C36:G40">
    <cfRule type="colorScale" priority="29">
      <colorScale>
        <cfvo type="min"/>
        <cfvo type="max"/>
        <color theme="0" tint="-4.9989318521683403E-2"/>
        <color theme="0" tint="-0.34998626667073579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J36:N40">
    <cfRule type="colorScale" priority="25">
      <colorScale>
        <cfvo type="min"/>
        <cfvo type="max"/>
        <color theme="0" tint="-4.9989318521683403E-2"/>
        <color theme="0" tint="-0.34998626667073579"/>
      </colorScale>
    </cfRule>
    <cfRule type="colorScale" priority="26">
      <colorScale>
        <cfvo type="min"/>
        <cfvo type="max"/>
        <color rgb="FFFCFCFF"/>
        <color rgb="FF63BE7B"/>
      </colorScale>
    </cfRule>
  </conditionalFormatting>
  <conditionalFormatting sqref="Q36:U40">
    <cfRule type="colorScale" priority="21">
      <colorScale>
        <cfvo type="min"/>
        <cfvo type="max"/>
        <color theme="0" tint="-4.9989318521683403E-2"/>
        <color theme="0" tint="-0.34998626667073579"/>
      </colorScale>
    </cfRule>
    <cfRule type="colorScale" priority="22">
      <colorScale>
        <cfvo type="min"/>
        <cfvo type="max"/>
        <color rgb="FFFCFCFF"/>
        <color rgb="FF63BE7B"/>
      </colorScale>
    </cfRule>
  </conditionalFormatting>
  <conditionalFormatting sqref="X36:AB40">
    <cfRule type="colorScale" priority="17">
      <colorScale>
        <cfvo type="min"/>
        <cfvo type="max"/>
        <color theme="0" tint="-4.9989318521683403E-2"/>
        <color theme="0" tint="-0.34998626667073579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X45:AB49">
    <cfRule type="colorScale" priority="7">
      <colorScale>
        <cfvo type="min"/>
        <cfvo type="max"/>
        <color theme="0" tint="-4.9989318521683403E-2"/>
        <color theme="0" tint="-0.34998626667073579"/>
      </colorScale>
    </cfRule>
    <cfRule type="colorScale" priority="8">
      <colorScale>
        <cfvo type="min"/>
        <cfvo type="max"/>
        <color rgb="FFFCFCFF"/>
        <color rgb="FF63BE7B"/>
      </colorScale>
    </cfRule>
  </conditionalFormatting>
  <conditionalFormatting sqref="C45:G49">
    <cfRule type="colorScale" priority="5">
      <colorScale>
        <cfvo type="min"/>
        <cfvo type="max"/>
        <color theme="0" tint="-4.9989318521683403E-2"/>
        <color theme="0" tint="-0.34998626667073579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conditionalFormatting sqref="J45:N49">
    <cfRule type="colorScale" priority="3">
      <colorScale>
        <cfvo type="min"/>
        <cfvo type="max"/>
        <color theme="0" tint="-4.9989318521683403E-2"/>
        <color theme="0" tint="-0.34998626667073579"/>
      </colorScale>
    </cfRule>
    <cfRule type="colorScale" priority="4">
      <colorScale>
        <cfvo type="min"/>
        <cfvo type="max"/>
        <color rgb="FFFCFCFF"/>
        <color rgb="FF63BE7B"/>
      </colorScale>
    </cfRule>
  </conditionalFormatting>
  <conditionalFormatting sqref="Q45:U49">
    <cfRule type="colorScale" priority="1">
      <colorScale>
        <cfvo type="min"/>
        <cfvo type="max"/>
        <color theme="0" tint="-4.9989318521683403E-2"/>
        <color theme="0" tint="-0.34998626667073579"/>
      </colorScale>
    </cfRule>
    <cfRule type="colorScale" priority="2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C0798-DA99-4871-A4DB-AD546282A481}">
  <dimension ref="B1:AI51"/>
  <sheetViews>
    <sheetView tabSelected="1" workbookViewId="0">
      <selection activeCell="H1" sqref="H1"/>
    </sheetView>
  </sheetViews>
  <sheetFormatPr defaultColWidth="8.86328125" defaultRowHeight="14.25" x14ac:dyDescent="0.45"/>
  <cols>
    <col min="1" max="1" width="3.73046875" style="1" customWidth="1"/>
    <col min="2" max="2" width="6.19921875" style="1" customWidth="1"/>
    <col min="3" max="4" width="6.1328125" style="1" customWidth="1"/>
    <col min="5" max="5" width="4.9296875" style="1" customWidth="1"/>
    <col min="6" max="6" width="4.33203125" style="1" customWidth="1"/>
    <col min="7" max="7" width="6.53125" style="1" customWidth="1"/>
    <col min="8" max="8" width="2.1328125" style="1" customWidth="1"/>
    <col min="9" max="9" width="6.53125" style="1" customWidth="1"/>
    <col min="10" max="13" width="5.59765625" style="1" customWidth="1"/>
    <col min="14" max="14" width="5.9296875" style="1" customWidth="1"/>
    <col min="15" max="15" width="1.9296875" style="1" customWidth="1"/>
    <col min="16" max="16" width="6.46484375" style="1" customWidth="1"/>
    <col min="17" max="20" width="4.73046875" style="1" customWidth="1"/>
    <col min="21" max="21" width="5.3984375" style="1" customWidth="1"/>
    <col min="22" max="22" width="1.86328125" style="1" customWidth="1"/>
    <col min="23" max="23" width="7.1328125" style="1" customWidth="1"/>
    <col min="24" max="28" width="5.53125" style="1" customWidth="1"/>
    <col min="29" max="29" width="1.59765625" style="1" customWidth="1"/>
    <col min="30" max="30" width="6.3984375" style="1" customWidth="1"/>
    <col min="31" max="34" width="5" style="1" customWidth="1"/>
    <col min="35" max="35" width="5.265625" style="1" customWidth="1"/>
    <col min="36" max="36" width="4.1328125" style="1" customWidth="1"/>
    <col min="37" max="16384" width="8.86328125" style="1"/>
  </cols>
  <sheetData>
    <row r="1" spans="2:35" ht="14.65" thickBot="1" x14ac:dyDescent="0.5"/>
    <row r="2" spans="2:35" x14ac:dyDescent="0.45">
      <c r="B2" s="146" t="s">
        <v>58</v>
      </c>
      <c r="C2" s="147"/>
      <c r="D2" s="147"/>
      <c r="E2" s="147"/>
      <c r="F2" s="147"/>
      <c r="G2" s="148"/>
      <c r="H2" s="3"/>
      <c r="I2" s="146" t="s">
        <v>117</v>
      </c>
      <c r="J2" s="147"/>
      <c r="K2" s="147"/>
      <c r="L2" s="147"/>
      <c r="M2" s="147"/>
      <c r="N2" s="148"/>
      <c r="O2" s="12"/>
      <c r="P2" s="146" t="s">
        <v>118</v>
      </c>
      <c r="Q2" s="147"/>
      <c r="R2" s="147"/>
      <c r="S2" s="147"/>
      <c r="T2" s="147"/>
      <c r="U2" s="148"/>
      <c r="W2" s="146" t="s">
        <v>119</v>
      </c>
      <c r="X2" s="147"/>
      <c r="Y2" s="147"/>
      <c r="Z2" s="147"/>
      <c r="AA2" s="147"/>
      <c r="AB2" s="148"/>
      <c r="AD2" s="146" t="s">
        <v>95</v>
      </c>
      <c r="AE2" s="147"/>
      <c r="AF2" s="147"/>
      <c r="AG2" s="147"/>
      <c r="AH2" s="147"/>
      <c r="AI2" s="148"/>
    </row>
    <row r="3" spans="2:35" x14ac:dyDescent="0.45">
      <c r="B3" s="14" t="s">
        <v>102</v>
      </c>
      <c r="C3" s="18"/>
      <c r="D3" s="18"/>
      <c r="E3" s="18"/>
      <c r="F3" s="18"/>
      <c r="G3" s="59">
        <f>+'Wheat Grain'!D3</f>
        <v>35</v>
      </c>
      <c r="I3" s="14" t="s">
        <v>102</v>
      </c>
      <c r="J3" s="18"/>
      <c r="K3" s="18"/>
      <c r="L3" s="18"/>
      <c r="M3" s="18"/>
      <c r="N3" s="59">
        <f>+'Wheat Dual  ~700Lb'!D3</f>
        <v>30</v>
      </c>
      <c r="O3" s="2"/>
      <c r="P3" s="14" t="s">
        <v>102</v>
      </c>
      <c r="Q3" s="18"/>
      <c r="R3" s="18"/>
      <c r="S3" s="18"/>
      <c r="T3" s="18"/>
      <c r="U3" s="59">
        <f>+'Wheat Dual ~800Lb'!D3</f>
        <v>30</v>
      </c>
      <c r="W3" s="117" t="s">
        <v>102</v>
      </c>
      <c r="X3" s="118"/>
      <c r="Y3" s="118"/>
      <c r="Z3" s="118"/>
      <c r="AA3" s="118"/>
      <c r="AB3" s="59">
        <f>+Assumptions!F7</f>
        <v>0</v>
      </c>
      <c r="AD3" s="14" t="s">
        <v>102</v>
      </c>
      <c r="AE3" s="18"/>
      <c r="AF3" s="18"/>
      <c r="AG3" s="18"/>
      <c r="AH3" s="18"/>
      <c r="AI3" s="59">
        <f>+'Irrigated Wheat'!D3</f>
        <v>60</v>
      </c>
    </row>
    <row r="4" spans="2:35" x14ac:dyDescent="0.45">
      <c r="B4" s="14" t="s">
        <v>103</v>
      </c>
      <c r="C4" s="18"/>
      <c r="D4" s="18"/>
      <c r="E4" s="18"/>
      <c r="F4" s="18"/>
      <c r="G4" s="59">
        <v>0</v>
      </c>
      <c r="I4" s="14" t="s">
        <v>103</v>
      </c>
      <c r="J4" s="18"/>
      <c r="K4" s="18"/>
      <c r="L4" s="18"/>
      <c r="M4" s="18"/>
      <c r="N4" s="59">
        <f>+'Wheat Dual  ~700Lb'!M4</f>
        <v>83.25</v>
      </c>
      <c r="O4" s="2"/>
      <c r="P4" s="14" t="s">
        <v>103</v>
      </c>
      <c r="Q4" s="18"/>
      <c r="R4" s="18"/>
      <c r="S4" s="18"/>
      <c r="T4" s="18"/>
      <c r="U4" s="59">
        <f>+'Wheat Dual ~800Lb'!D4+'Wheat Dual ~800Lb'!D5</f>
        <v>138.47500000000002</v>
      </c>
      <c r="W4" s="117" t="s">
        <v>103</v>
      </c>
      <c r="X4" s="118"/>
      <c r="Y4" s="118"/>
      <c r="Z4" s="118"/>
      <c r="AA4" s="118"/>
      <c r="AB4" s="59">
        <f>+'Wheat Graze Out'!M4+'Wheat Graze Out'!M5</f>
        <v>230.51666666666668</v>
      </c>
      <c r="AD4" s="14" t="s">
        <v>103</v>
      </c>
      <c r="AE4" s="18"/>
      <c r="AF4" s="18"/>
      <c r="AG4" s="18"/>
      <c r="AH4" s="18"/>
      <c r="AI4" s="59">
        <f>+'Irrigated Wheat'!M4</f>
        <v>83.25</v>
      </c>
    </row>
    <row r="5" spans="2:35" x14ac:dyDescent="0.45">
      <c r="B5" s="14" t="s">
        <v>61</v>
      </c>
      <c r="C5" s="18"/>
      <c r="D5" s="18"/>
      <c r="E5" s="18"/>
      <c r="F5" s="18"/>
      <c r="G5" s="73">
        <f>+'Wheat Grain'!F3</f>
        <v>4.5999999999999996</v>
      </c>
      <c r="I5" s="14" t="s">
        <v>61</v>
      </c>
      <c r="J5" s="18"/>
      <c r="K5" s="18"/>
      <c r="L5" s="18"/>
      <c r="M5" s="18"/>
      <c r="N5" s="73">
        <f>+G5</f>
        <v>4.5999999999999996</v>
      </c>
      <c r="P5" s="14" t="s">
        <v>61</v>
      </c>
      <c r="Q5" s="18"/>
      <c r="R5" s="18"/>
      <c r="S5" s="18"/>
      <c r="T5" s="18"/>
      <c r="U5" s="137">
        <f>+N5</f>
        <v>4.5999999999999996</v>
      </c>
      <c r="W5" s="117" t="s">
        <v>61</v>
      </c>
      <c r="X5" s="118"/>
      <c r="Y5" s="118"/>
      <c r="Z5" s="118"/>
      <c r="AA5" s="118"/>
      <c r="AB5" s="53"/>
      <c r="AD5" s="14" t="s">
        <v>61</v>
      </c>
      <c r="AE5" s="18"/>
      <c r="AF5" s="18"/>
      <c r="AG5" s="18"/>
      <c r="AH5" s="18"/>
      <c r="AI5" s="137">
        <f>+'Irrigated Wheat'!F3</f>
        <v>4.5999999999999996</v>
      </c>
    </row>
    <row r="6" spans="2:35" x14ac:dyDescent="0.45">
      <c r="B6" s="14" t="s">
        <v>64</v>
      </c>
      <c r="C6" s="18"/>
      <c r="D6" s="18"/>
      <c r="E6" s="18"/>
      <c r="F6" s="18"/>
      <c r="G6" s="74">
        <v>1</v>
      </c>
      <c r="I6" s="14" t="s">
        <v>64</v>
      </c>
      <c r="J6" s="18"/>
      <c r="K6" s="18"/>
      <c r="L6" s="18"/>
      <c r="M6" s="18"/>
      <c r="N6" s="74">
        <v>1</v>
      </c>
      <c r="P6" s="14" t="s">
        <v>64</v>
      </c>
      <c r="Q6" s="18"/>
      <c r="R6" s="18"/>
      <c r="S6" s="18"/>
      <c r="T6" s="18"/>
      <c r="U6" s="76">
        <f>+'Wheat Dual ~800Lb'!H3</f>
        <v>0.625</v>
      </c>
      <c r="W6" s="117" t="s">
        <v>64</v>
      </c>
      <c r="X6" s="118"/>
      <c r="Y6" s="118"/>
      <c r="Z6" s="118"/>
      <c r="AA6" s="118"/>
      <c r="AB6" s="119">
        <v>0</v>
      </c>
      <c r="AD6" s="14" t="s">
        <v>64</v>
      </c>
      <c r="AE6" s="18"/>
      <c r="AF6" s="18"/>
      <c r="AG6" s="18"/>
      <c r="AH6" s="18"/>
      <c r="AI6" s="76">
        <v>1</v>
      </c>
    </row>
    <row r="7" spans="2:35" x14ac:dyDescent="0.45">
      <c r="B7" s="14" t="s">
        <v>65</v>
      </c>
      <c r="C7" s="18"/>
      <c r="D7" s="18"/>
      <c r="E7" s="18"/>
      <c r="F7" s="18"/>
      <c r="G7" s="79">
        <f>+'Wheat Grain'!G7</f>
        <v>161</v>
      </c>
      <c r="I7" s="14" t="s">
        <v>65</v>
      </c>
      <c r="J7" s="18"/>
      <c r="K7" s="18"/>
      <c r="L7" s="18"/>
      <c r="M7" s="18"/>
      <c r="N7" s="79">
        <f>+'Wheat Dual  ~700Lb'!G3</f>
        <v>138</v>
      </c>
      <c r="O7" s="5"/>
      <c r="P7" s="14" t="s">
        <v>65</v>
      </c>
      <c r="Q7" s="18"/>
      <c r="R7" s="18"/>
      <c r="S7" s="18"/>
      <c r="T7" s="18"/>
      <c r="U7" s="79">
        <f>+'Wheat Dual ~800Lb'!G3</f>
        <v>86.25</v>
      </c>
      <c r="W7" s="117" t="s">
        <v>65</v>
      </c>
      <c r="X7" s="118"/>
      <c r="Y7" s="118"/>
      <c r="Z7" s="118"/>
      <c r="AA7" s="118"/>
      <c r="AB7" s="137">
        <v>0</v>
      </c>
      <c r="AD7" s="14" t="s">
        <v>65</v>
      </c>
      <c r="AE7" s="18"/>
      <c r="AF7" s="18"/>
      <c r="AG7" s="18"/>
      <c r="AH7" s="18"/>
      <c r="AI7" s="79">
        <f>+'Irrigated Wheat'!G3</f>
        <v>276</v>
      </c>
    </row>
    <row r="8" spans="2:35" x14ac:dyDescent="0.45">
      <c r="B8" s="14"/>
      <c r="C8" s="18"/>
      <c r="D8" s="18"/>
      <c r="E8" s="18"/>
      <c r="F8" s="18"/>
      <c r="G8" s="52"/>
      <c r="I8" s="14" t="s">
        <v>66</v>
      </c>
      <c r="J8" s="18"/>
      <c r="K8" s="18"/>
      <c r="L8" s="18"/>
      <c r="M8" s="18"/>
      <c r="N8" s="52">
        <f>+'Wheat Dual  ~700Lb'!G4</f>
        <v>45.787500000000001</v>
      </c>
      <c r="O8" s="5"/>
      <c r="P8" s="14" t="s">
        <v>66</v>
      </c>
      <c r="Q8" s="18"/>
      <c r="R8" s="18"/>
      <c r="S8" s="18"/>
      <c r="T8" s="18"/>
      <c r="U8" s="79">
        <f>+'Wheat Dual ~800Lb'!G4+'Wheat Dual ~800Lb'!G5</f>
        <v>76.16125000000001</v>
      </c>
      <c r="W8" s="117" t="s">
        <v>66</v>
      </c>
      <c r="X8" s="118"/>
      <c r="Y8" s="118"/>
      <c r="Z8" s="118"/>
      <c r="AA8" s="118"/>
      <c r="AB8" s="83">
        <f>+'Wheat Graze Out'!G4+'Wheat Graze Out'!G5</f>
        <v>126.78416666666669</v>
      </c>
      <c r="AC8" s="21"/>
      <c r="AD8" s="106" t="s">
        <v>66</v>
      </c>
      <c r="AE8" s="109"/>
      <c r="AF8" s="109"/>
      <c r="AG8" s="109"/>
      <c r="AH8" s="109"/>
      <c r="AI8" s="79">
        <f>+'Irrigated Wheat'!G4</f>
        <v>45.787500000000001</v>
      </c>
    </row>
    <row r="9" spans="2:35" x14ac:dyDescent="0.45">
      <c r="B9" s="55" t="s">
        <v>73</v>
      </c>
      <c r="C9" s="80"/>
      <c r="D9" s="80"/>
      <c r="E9" s="80"/>
      <c r="F9" s="80"/>
      <c r="G9" s="82">
        <f>+G7+G8</f>
        <v>161</v>
      </c>
      <c r="I9" s="55" t="s">
        <v>73</v>
      </c>
      <c r="J9" s="80"/>
      <c r="K9" s="80"/>
      <c r="L9" s="80"/>
      <c r="M9" s="80"/>
      <c r="N9" s="82">
        <f>+N7+N8</f>
        <v>183.78749999999999</v>
      </c>
      <c r="O9" s="6"/>
      <c r="P9" s="55" t="s">
        <v>73</v>
      </c>
      <c r="Q9" s="80"/>
      <c r="R9" s="80"/>
      <c r="S9" s="80"/>
      <c r="T9" s="80"/>
      <c r="U9" s="82">
        <f>+U7+U8</f>
        <v>162.41125</v>
      </c>
      <c r="W9" s="55" t="s">
        <v>73</v>
      </c>
      <c r="X9" s="80"/>
      <c r="Y9" s="80"/>
      <c r="Z9" s="80"/>
      <c r="AA9" s="80"/>
      <c r="AB9" s="82">
        <f>+AB7+AB8</f>
        <v>126.78416666666669</v>
      </c>
      <c r="AC9" s="21"/>
      <c r="AD9" s="108" t="s">
        <v>73</v>
      </c>
      <c r="AE9" s="110"/>
      <c r="AF9" s="110"/>
      <c r="AG9" s="110"/>
      <c r="AH9" s="110"/>
      <c r="AI9" s="82">
        <f>+AI7+AI8</f>
        <v>321.78750000000002</v>
      </c>
    </row>
    <row r="10" spans="2:35" x14ac:dyDescent="0.45">
      <c r="B10" s="14"/>
      <c r="C10" s="18"/>
      <c r="D10" s="18"/>
      <c r="E10" s="18"/>
      <c r="F10" s="18"/>
      <c r="G10" s="15"/>
      <c r="I10" s="14"/>
      <c r="J10" s="18"/>
      <c r="K10" s="18"/>
      <c r="L10" s="18"/>
      <c r="M10" s="18"/>
      <c r="N10" s="15"/>
      <c r="P10" s="14"/>
      <c r="Q10" s="18"/>
      <c r="R10" s="18"/>
      <c r="S10" s="18"/>
      <c r="T10" s="18"/>
      <c r="U10" s="15"/>
      <c r="W10" s="117"/>
      <c r="X10" s="118"/>
      <c r="Y10" s="118"/>
      <c r="Z10" s="118"/>
      <c r="AA10" s="118"/>
      <c r="AB10" s="120"/>
      <c r="AD10" s="14"/>
      <c r="AE10" s="18"/>
      <c r="AF10" s="18"/>
      <c r="AG10" s="18"/>
      <c r="AH10" s="18"/>
      <c r="AI10" s="15"/>
    </row>
    <row r="11" spans="2:35" x14ac:dyDescent="0.45">
      <c r="B11" s="14" t="s">
        <v>11</v>
      </c>
      <c r="C11" s="18"/>
      <c r="D11" s="18"/>
      <c r="E11" s="18"/>
      <c r="F11" s="18"/>
      <c r="G11" s="83">
        <f>+'Wheat Grain'!G22</f>
        <v>117.41796500000001</v>
      </c>
      <c r="I11" s="14" t="s">
        <v>11</v>
      </c>
      <c r="J11" s="18"/>
      <c r="K11" s="18"/>
      <c r="L11" s="18"/>
      <c r="M11" s="18"/>
      <c r="N11" s="83">
        <f>+'Wheat Dual  ~700Lb'!G22</f>
        <v>126.11285400000001</v>
      </c>
      <c r="O11" s="5"/>
      <c r="P11" s="14" t="s">
        <v>11</v>
      </c>
      <c r="Q11" s="18"/>
      <c r="R11" s="18"/>
      <c r="S11" s="18"/>
      <c r="T11" s="18"/>
      <c r="U11" s="83">
        <f>+'Wheat Dual ~800Lb'!G22</f>
        <v>116.30410400000001</v>
      </c>
      <c r="W11" s="117" t="s">
        <v>11</v>
      </c>
      <c r="X11" s="118"/>
      <c r="Y11" s="118"/>
      <c r="Z11" s="118"/>
      <c r="AA11" s="118"/>
      <c r="AB11" s="83">
        <f>+'Wheat Graze Out'!G22</f>
        <v>89.853312500000001</v>
      </c>
      <c r="AC11" s="21"/>
      <c r="AD11" s="106" t="s">
        <v>11</v>
      </c>
      <c r="AE11" s="109"/>
      <c r="AF11" s="109"/>
      <c r="AG11" s="109"/>
      <c r="AH11" s="109"/>
      <c r="AI11" s="83">
        <f>+'Irrigated Wheat'!G22</f>
        <v>221.80371500000001</v>
      </c>
    </row>
    <row r="12" spans="2:35" x14ac:dyDescent="0.45">
      <c r="B12" s="14" t="s">
        <v>62</v>
      </c>
      <c r="C12" s="18"/>
      <c r="D12" s="18"/>
      <c r="E12" s="18"/>
      <c r="F12" s="18"/>
      <c r="G12" s="83">
        <f>+'Wheat Grain'!G27</f>
        <v>34.9</v>
      </c>
      <c r="I12" s="14" t="s">
        <v>62</v>
      </c>
      <c r="J12" s="18"/>
      <c r="K12" s="18"/>
      <c r="L12" s="18"/>
      <c r="M12" s="18"/>
      <c r="N12" s="83">
        <f>+'Wheat Dual  ~700Lb'!G24</f>
        <v>33.700000000000003</v>
      </c>
      <c r="O12" s="5"/>
      <c r="P12" s="14" t="s">
        <v>62</v>
      </c>
      <c r="Q12" s="18"/>
      <c r="R12" s="18"/>
      <c r="S12" s="18"/>
      <c r="T12" s="18"/>
      <c r="U12" s="83">
        <f>+'Wheat Dual ~800Lb'!G24</f>
        <v>21.0625</v>
      </c>
      <c r="W12" s="117" t="s">
        <v>62</v>
      </c>
      <c r="X12" s="118"/>
      <c r="Y12" s="118"/>
      <c r="Z12" s="118"/>
      <c r="AA12" s="118"/>
      <c r="AB12" s="83">
        <f>+'Wheat Dual ~800Lb'!N19</f>
        <v>0</v>
      </c>
      <c r="AC12" s="21"/>
      <c r="AD12" s="106" t="s">
        <v>62</v>
      </c>
      <c r="AE12" s="109"/>
      <c r="AF12" s="109"/>
      <c r="AG12" s="109"/>
      <c r="AH12" s="109"/>
      <c r="AI12" s="83">
        <f>+'Irrigated Wheat'!G24</f>
        <v>40.9</v>
      </c>
    </row>
    <row r="13" spans="2:35" x14ac:dyDescent="0.45">
      <c r="B13" s="54" t="s">
        <v>33</v>
      </c>
      <c r="C13" s="63"/>
      <c r="D13" s="63"/>
      <c r="E13" s="63"/>
      <c r="F13" s="63"/>
      <c r="G13" s="84">
        <f>+G11+G12</f>
        <v>152.31796500000002</v>
      </c>
      <c r="I13" s="54" t="s">
        <v>33</v>
      </c>
      <c r="J13" s="63"/>
      <c r="K13" s="63"/>
      <c r="L13" s="63"/>
      <c r="M13" s="63"/>
      <c r="N13" s="84">
        <f>+N11+N12</f>
        <v>159.81285400000002</v>
      </c>
      <c r="O13" s="6"/>
      <c r="P13" s="54" t="s">
        <v>33</v>
      </c>
      <c r="Q13" s="63"/>
      <c r="R13" s="63"/>
      <c r="S13" s="63"/>
      <c r="T13" s="63"/>
      <c r="U13" s="84">
        <f>+U11+U12</f>
        <v>137.366604</v>
      </c>
      <c r="W13" s="121" t="s">
        <v>33</v>
      </c>
      <c r="X13" s="122"/>
      <c r="Y13" s="122"/>
      <c r="Z13" s="122"/>
      <c r="AA13" s="122"/>
      <c r="AB13" s="123">
        <f>+AB11+AB12</f>
        <v>89.853312500000001</v>
      </c>
      <c r="AC13" s="21"/>
      <c r="AD13" s="107" t="s">
        <v>33</v>
      </c>
      <c r="AE13" s="111"/>
      <c r="AF13" s="111"/>
      <c r="AG13" s="111"/>
      <c r="AH13" s="111"/>
      <c r="AI13" s="84">
        <f>+AI11+AI12</f>
        <v>262.70371499999999</v>
      </c>
    </row>
    <row r="14" spans="2:35" x14ac:dyDescent="0.45">
      <c r="B14" s="14"/>
      <c r="C14" s="18"/>
      <c r="D14" s="18"/>
      <c r="E14" s="18"/>
      <c r="F14" s="18"/>
      <c r="G14" s="15"/>
      <c r="I14" s="14"/>
      <c r="J14" s="18"/>
      <c r="K14" s="18"/>
      <c r="L14" s="18"/>
      <c r="M14" s="18"/>
      <c r="N14" s="15"/>
      <c r="P14" s="14"/>
      <c r="Q14" s="18"/>
      <c r="R14" s="18"/>
      <c r="S14" s="18"/>
      <c r="T14" s="18"/>
      <c r="U14" s="15"/>
      <c r="W14" s="117"/>
      <c r="X14" s="118"/>
      <c r="Y14" s="118"/>
      <c r="Z14" s="118"/>
      <c r="AA14" s="118"/>
      <c r="AB14" s="120"/>
      <c r="AD14" s="14"/>
      <c r="AE14" s="18"/>
      <c r="AF14" s="18"/>
      <c r="AG14" s="18"/>
      <c r="AH14" s="18"/>
      <c r="AI14" s="15"/>
    </row>
    <row r="15" spans="2:35" x14ac:dyDescent="0.45">
      <c r="B15" s="55" t="s">
        <v>75</v>
      </c>
      <c r="C15" s="80"/>
      <c r="D15" s="80"/>
      <c r="E15" s="80"/>
      <c r="F15" s="80"/>
      <c r="G15" s="56">
        <f>+G9-G13</f>
        <v>8.6820349999999848</v>
      </c>
      <c r="H15" s="3"/>
      <c r="I15" s="55" t="s">
        <v>75</v>
      </c>
      <c r="J15" s="80"/>
      <c r="K15" s="80"/>
      <c r="L15" s="80"/>
      <c r="M15" s="80"/>
      <c r="N15" s="105">
        <f>+N9-N13</f>
        <v>23.974645999999979</v>
      </c>
      <c r="O15" s="6"/>
      <c r="P15" s="55" t="s">
        <v>75</v>
      </c>
      <c r="Q15" s="80"/>
      <c r="R15" s="80"/>
      <c r="S15" s="80"/>
      <c r="T15" s="80"/>
      <c r="U15" s="133">
        <f>+U9-U13</f>
        <v>25.044646</v>
      </c>
      <c r="W15" s="55" t="s">
        <v>75</v>
      </c>
      <c r="X15" s="80"/>
      <c r="Y15" s="80"/>
      <c r="Z15" s="80"/>
      <c r="AA15" s="80"/>
      <c r="AB15" s="133">
        <f>+AB9-AB13</f>
        <v>36.930854166666691</v>
      </c>
      <c r="AD15" s="55" t="s">
        <v>75</v>
      </c>
      <c r="AE15" s="80"/>
      <c r="AF15" s="80"/>
      <c r="AG15" s="80"/>
      <c r="AH15" s="80"/>
      <c r="AI15" s="133">
        <f>+AI9-AI13</f>
        <v>59.083785000000034</v>
      </c>
    </row>
    <row r="16" spans="2:35" x14ac:dyDescent="0.45">
      <c r="B16" s="14"/>
      <c r="C16" s="18"/>
      <c r="D16" s="18"/>
      <c r="E16" s="18"/>
      <c r="F16" s="18"/>
      <c r="G16" s="15"/>
      <c r="I16" s="14"/>
      <c r="J16" s="18"/>
      <c r="K16" s="18"/>
      <c r="L16" s="18"/>
      <c r="M16" s="18"/>
      <c r="N16" s="15"/>
      <c r="P16" s="14"/>
      <c r="Q16" s="18"/>
      <c r="R16" s="18"/>
      <c r="S16" s="18"/>
      <c r="T16" s="18"/>
      <c r="U16" s="112"/>
      <c r="W16" s="117"/>
      <c r="X16" s="118"/>
      <c r="Y16" s="118"/>
      <c r="Z16" s="118"/>
      <c r="AA16" s="118"/>
      <c r="AB16" s="113"/>
      <c r="AD16" s="14"/>
      <c r="AE16" s="18"/>
      <c r="AF16" s="18"/>
      <c r="AG16" s="18"/>
      <c r="AH16" s="18"/>
      <c r="AI16" s="112"/>
    </row>
    <row r="17" spans="2:35" x14ac:dyDescent="0.45">
      <c r="B17" s="14" t="s">
        <v>63</v>
      </c>
      <c r="C17" s="18"/>
      <c r="D17" s="18"/>
      <c r="E17" s="18"/>
      <c r="F17" s="18"/>
      <c r="G17" s="83">
        <f>+'Wheat Grain'!G47</f>
        <v>45.24</v>
      </c>
      <c r="I17" s="14" t="s">
        <v>63</v>
      </c>
      <c r="J17" s="18"/>
      <c r="K17" s="18"/>
      <c r="L17" s="18"/>
      <c r="M17" s="18"/>
      <c r="N17" s="83">
        <f>+'Wheat Dual  ~700Lb'!G47</f>
        <v>45.24</v>
      </c>
      <c r="O17" s="5"/>
      <c r="P17" s="14" t="s">
        <v>63</v>
      </c>
      <c r="Q17" s="18"/>
      <c r="R17" s="18"/>
      <c r="S17" s="18"/>
      <c r="T17" s="18"/>
      <c r="U17" s="135">
        <f>+'Wheat Dual ~800Lb'!G47</f>
        <v>45.24</v>
      </c>
      <c r="W17" s="117" t="s">
        <v>63</v>
      </c>
      <c r="X17" s="118"/>
      <c r="Y17" s="118"/>
      <c r="Z17" s="118"/>
      <c r="AA17" s="118"/>
      <c r="AB17" s="135">
        <f>+'Wheat Graze Out'!G47</f>
        <v>41.74</v>
      </c>
      <c r="AD17" s="14" t="s">
        <v>63</v>
      </c>
      <c r="AE17" s="18"/>
      <c r="AF17" s="18"/>
      <c r="AG17" s="18"/>
      <c r="AH17" s="18"/>
      <c r="AI17" s="135">
        <f>+'Irrigated Wheat'!G47</f>
        <v>80.73</v>
      </c>
    </row>
    <row r="18" spans="2:35" x14ac:dyDescent="0.45">
      <c r="B18" s="14"/>
      <c r="C18" s="18"/>
      <c r="D18" s="18"/>
      <c r="E18" s="18"/>
      <c r="F18" s="18"/>
      <c r="G18" s="79"/>
      <c r="I18" s="14"/>
      <c r="J18" s="18"/>
      <c r="K18" s="18"/>
      <c r="L18" s="18"/>
      <c r="M18" s="18"/>
      <c r="N18" s="79"/>
      <c r="P18" s="14"/>
      <c r="Q18" s="18"/>
      <c r="R18" s="18"/>
      <c r="S18" s="18"/>
      <c r="T18" s="18"/>
      <c r="U18" s="136"/>
      <c r="W18" s="117"/>
      <c r="X18" s="118"/>
      <c r="Y18" s="118"/>
      <c r="Z18" s="118"/>
      <c r="AA18" s="118"/>
      <c r="AB18" s="113"/>
      <c r="AD18" s="14"/>
      <c r="AE18" s="18"/>
      <c r="AF18" s="18"/>
      <c r="AG18" s="18"/>
      <c r="AH18" s="18"/>
      <c r="AI18" s="112"/>
    </row>
    <row r="19" spans="2:35" ht="14.65" thickBot="1" x14ac:dyDescent="0.5">
      <c r="B19" s="57" t="s">
        <v>74</v>
      </c>
      <c r="C19" s="81"/>
      <c r="D19" s="81"/>
      <c r="E19" s="81"/>
      <c r="F19" s="81"/>
      <c r="G19" s="134">
        <f>+G15-G17</f>
        <v>-36.557965000000017</v>
      </c>
      <c r="I19" s="57" t="s">
        <v>74</v>
      </c>
      <c r="J19" s="81"/>
      <c r="K19" s="81"/>
      <c r="L19" s="81"/>
      <c r="M19" s="81"/>
      <c r="N19" s="134">
        <f>+N15-N17</f>
        <v>-21.265354000000023</v>
      </c>
      <c r="O19" s="5"/>
      <c r="P19" s="57" t="s">
        <v>74</v>
      </c>
      <c r="Q19" s="81"/>
      <c r="R19" s="81"/>
      <c r="S19" s="81"/>
      <c r="T19" s="81"/>
      <c r="U19" s="134">
        <f>+U15-U17</f>
        <v>-20.195354000000002</v>
      </c>
      <c r="W19" s="57" t="s">
        <v>74</v>
      </c>
      <c r="X19" s="81"/>
      <c r="Y19" s="81"/>
      <c r="Z19" s="81"/>
      <c r="AA19" s="81"/>
      <c r="AB19" s="116">
        <f>+AB15-AB17</f>
        <v>-4.8091458333333108</v>
      </c>
      <c r="AD19" s="57" t="s">
        <v>74</v>
      </c>
      <c r="AE19" s="81"/>
      <c r="AF19" s="81"/>
      <c r="AG19" s="81"/>
      <c r="AH19" s="81"/>
      <c r="AI19" s="134">
        <f>+AI15-AI17</f>
        <v>-21.64621499999997</v>
      </c>
    </row>
    <row r="20" spans="2:35" ht="14.65" thickBot="1" x14ac:dyDescent="0.5">
      <c r="U20" s="130"/>
    </row>
    <row r="21" spans="2:35" x14ac:dyDescent="0.45">
      <c r="B21" s="13" t="s">
        <v>68</v>
      </c>
      <c r="C21" s="17"/>
      <c r="D21" s="17"/>
      <c r="E21" s="17"/>
      <c r="F21" s="17"/>
      <c r="G21" s="138">
        <f>+G13/G3</f>
        <v>4.3519418571428572</v>
      </c>
      <c r="I21" s="13" t="s">
        <v>68</v>
      </c>
      <c r="J21" s="17"/>
      <c r="K21" s="17"/>
      <c r="L21" s="17"/>
      <c r="M21" s="17"/>
      <c r="N21" s="138">
        <f>+(N13-N8)/N3</f>
        <v>3.800845133333334</v>
      </c>
      <c r="O21" s="10"/>
      <c r="P21" s="13" t="s">
        <v>68</v>
      </c>
      <c r="Q21" s="17"/>
      <c r="R21" s="17"/>
      <c r="S21" s="17"/>
      <c r="T21" s="17"/>
      <c r="U21" s="131">
        <f>+(U13-N8)/U3</f>
        <v>3.0526368000000002</v>
      </c>
      <c r="W21" s="13" t="s">
        <v>99</v>
      </c>
      <c r="X21" s="17"/>
      <c r="Y21" s="17"/>
      <c r="Z21" s="17"/>
      <c r="AA21" s="17"/>
      <c r="AB21" s="62">
        <f>+AB13/AB4</f>
        <v>0.38979095871592795</v>
      </c>
      <c r="AD21" s="13" t="s">
        <v>68</v>
      </c>
      <c r="AE21" s="17"/>
      <c r="AF21" s="17"/>
      <c r="AG21" s="17"/>
      <c r="AH21" s="17"/>
      <c r="AI21" s="138">
        <f>+(AI13-AI8)/AI3</f>
        <v>3.61527025</v>
      </c>
    </row>
    <row r="22" spans="2:35" ht="14.65" thickBot="1" x14ac:dyDescent="0.5">
      <c r="B22" s="16" t="s">
        <v>67</v>
      </c>
      <c r="C22" s="19"/>
      <c r="D22" s="19"/>
      <c r="E22" s="19"/>
      <c r="F22" s="19"/>
      <c r="G22" s="139">
        <f>+(G13+G17)/G3</f>
        <v>5.6445132857142868</v>
      </c>
      <c r="I22" s="16" t="s">
        <v>67</v>
      </c>
      <c r="J22" s="19"/>
      <c r="K22" s="19"/>
      <c r="L22" s="19"/>
      <c r="M22" s="19"/>
      <c r="N22" s="139">
        <f>+(N13+N17-N8)/N3</f>
        <v>5.3088451333333344</v>
      </c>
      <c r="O22" s="10"/>
      <c r="P22" s="16" t="s">
        <v>67</v>
      </c>
      <c r="Q22" s="19"/>
      <c r="R22" s="19"/>
      <c r="S22" s="19"/>
      <c r="T22" s="19"/>
      <c r="U22" s="132">
        <f>+(U13+U17-N8)/U3</f>
        <v>4.5606368000000002</v>
      </c>
      <c r="W22" s="16" t="s">
        <v>100</v>
      </c>
      <c r="X22" s="19"/>
      <c r="Y22" s="19"/>
      <c r="Z22" s="19"/>
      <c r="AA22" s="19"/>
      <c r="AB22" s="20">
        <f>+(AB17+AB13)/AB4</f>
        <v>0.57086246475309088</v>
      </c>
      <c r="AD22" s="16" t="s">
        <v>67</v>
      </c>
      <c r="AE22" s="19"/>
      <c r="AF22" s="19"/>
      <c r="AG22" s="19"/>
      <c r="AH22" s="19"/>
      <c r="AI22" s="139">
        <f>+(AI13+AI17-AI8)/AI3</f>
        <v>4.9607702499999995</v>
      </c>
    </row>
    <row r="23" spans="2:35" ht="14.65" thickBot="1" x14ac:dyDescent="0.5"/>
    <row r="24" spans="2:35" ht="15" thickTop="1" thickBot="1" x14ac:dyDescent="0.5">
      <c r="B24" s="140" t="s">
        <v>165</v>
      </c>
      <c r="C24" s="141"/>
      <c r="D24" s="141"/>
      <c r="E24" s="141"/>
      <c r="F24" s="141"/>
      <c r="G24" s="142"/>
      <c r="I24" s="140" t="s">
        <v>165</v>
      </c>
      <c r="J24" s="141"/>
      <c r="K24" s="141"/>
      <c r="L24" s="141"/>
      <c r="M24" s="141"/>
      <c r="N24" s="142"/>
      <c r="P24" s="140" t="s">
        <v>165</v>
      </c>
      <c r="Q24" s="141"/>
      <c r="R24" s="141"/>
      <c r="S24" s="141"/>
      <c r="T24" s="141"/>
      <c r="U24" s="142"/>
      <c r="W24" s="140" t="s">
        <v>165</v>
      </c>
      <c r="X24" s="141"/>
      <c r="Y24" s="141"/>
      <c r="Z24" s="141"/>
      <c r="AA24" s="141"/>
      <c r="AB24" s="142"/>
      <c r="AD24" s="140" t="s">
        <v>165</v>
      </c>
      <c r="AE24" s="141"/>
      <c r="AF24" s="141"/>
      <c r="AG24" s="141"/>
      <c r="AH24" s="141"/>
      <c r="AI24" s="142"/>
    </row>
    <row r="25" spans="2:35" ht="14.65" thickTop="1" x14ac:dyDescent="0.45">
      <c r="B25" s="85" t="s">
        <v>59</v>
      </c>
      <c r="C25" s="143" t="s">
        <v>161</v>
      </c>
      <c r="D25" s="144"/>
      <c r="E25" s="144" t="s">
        <v>61</v>
      </c>
      <c r="F25" s="144"/>
      <c r="G25" s="145"/>
      <c r="I25" s="85" t="s">
        <v>59</v>
      </c>
      <c r="J25" s="143" t="s">
        <v>161</v>
      </c>
      <c r="K25" s="144"/>
      <c r="L25" s="144" t="s">
        <v>61</v>
      </c>
      <c r="M25" s="144"/>
      <c r="N25" s="145"/>
      <c r="O25" s="8"/>
      <c r="P25" s="85" t="s">
        <v>59</v>
      </c>
      <c r="Q25" s="143" t="s">
        <v>161</v>
      </c>
      <c r="R25" s="144"/>
      <c r="S25" s="144" t="s">
        <v>61</v>
      </c>
      <c r="T25" s="144"/>
      <c r="U25" s="145"/>
      <c r="W25" s="85" t="s">
        <v>138</v>
      </c>
      <c r="X25" s="143" t="s">
        <v>136</v>
      </c>
      <c r="Y25" s="144"/>
      <c r="Z25" s="144"/>
      <c r="AA25" s="144"/>
      <c r="AB25" s="145"/>
      <c r="AD25" s="85" t="s">
        <v>59</v>
      </c>
      <c r="AE25" s="143" t="s">
        <v>161</v>
      </c>
      <c r="AF25" s="144"/>
      <c r="AG25" s="144" t="s">
        <v>61</v>
      </c>
      <c r="AH25" s="144"/>
      <c r="AI25" s="145"/>
    </row>
    <row r="26" spans="2:35" ht="14.65" thickBot="1" x14ac:dyDescent="0.5">
      <c r="B26" s="86"/>
      <c r="C26" s="99">
        <f>+E26*0.9</f>
        <v>4.1399999999999997</v>
      </c>
      <c r="D26" s="100">
        <f>+E26*0.95</f>
        <v>4.3699999999999992</v>
      </c>
      <c r="E26" s="114">
        <f>+G5</f>
        <v>4.5999999999999996</v>
      </c>
      <c r="F26" s="100">
        <f>+E26*1.05</f>
        <v>4.83</v>
      </c>
      <c r="G26" s="101">
        <f>+E26*1.1</f>
        <v>5.0599999999999996</v>
      </c>
      <c r="I26" s="86"/>
      <c r="J26" s="99">
        <f>+L26*0.9</f>
        <v>4.1399999999999997</v>
      </c>
      <c r="K26" s="100">
        <f>+L26*0.95</f>
        <v>4.3699999999999992</v>
      </c>
      <c r="L26" s="114">
        <f>+N5</f>
        <v>4.5999999999999996</v>
      </c>
      <c r="M26" s="100">
        <f>+L26*1.05</f>
        <v>4.83</v>
      </c>
      <c r="N26" s="101">
        <f>+L26*1.1</f>
        <v>5.0599999999999996</v>
      </c>
      <c r="O26" s="11"/>
      <c r="P26" s="86"/>
      <c r="Q26" s="99">
        <f>+S26*0.9</f>
        <v>4.1399999999999997</v>
      </c>
      <c r="R26" s="100">
        <f>+S26*0.95</f>
        <v>4.3699999999999992</v>
      </c>
      <c r="S26" s="114">
        <f>+U5</f>
        <v>4.5999999999999996</v>
      </c>
      <c r="T26" s="100">
        <f>+S26*1.05</f>
        <v>4.83</v>
      </c>
      <c r="U26" s="101">
        <f>+S26*1.1</f>
        <v>5.0599999999999996</v>
      </c>
      <c r="W26" s="86" t="s">
        <v>8</v>
      </c>
      <c r="X26" s="99">
        <f>+Z26*0.8</f>
        <v>0.44000000000000006</v>
      </c>
      <c r="Y26" s="100">
        <f>+Z26*0.9</f>
        <v>0.49500000000000005</v>
      </c>
      <c r="Z26" s="114">
        <f>+'Wheat Graze Out'!N5</f>
        <v>0.55000000000000004</v>
      </c>
      <c r="AA26" s="100">
        <f>+Z26*1.05</f>
        <v>0.57750000000000012</v>
      </c>
      <c r="AB26" s="101">
        <f>+Z26*1.1</f>
        <v>0.60500000000000009</v>
      </c>
      <c r="AD26" s="86"/>
      <c r="AE26" s="99">
        <f>+AG26*0.9</f>
        <v>4.1399999999999997</v>
      </c>
      <c r="AF26" s="100">
        <f>+AG26*0.95</f>
        <v>4.3699999999999992</v>
      </c>
      <c r="AG26" s="114">
        <f>+AI5</f>
        <v>4.5999999999999996</v>
      </c>
      <c r="AH26" s="100">
        <f>+AG26*1.05</f>
        <v>4.83</v>
      </c>
      <c r="AI26" s="101">
        <f>+AG26*1.1</f>
        <v>5.0599999999999996</v>
      </c>
    </row>
    <row r="27" spans="2:35" ht="14.65" thickTop="1" x14ac:dyDescent="0.45">
      <c r="B27" s="87">
        <f>+B29*0.8</f>
        <v>28</v>
      </c>
      <c r="C27" s="88">
        <f>+(C$26*$B27-$G$13-$G$17)</f>
        <v>-81.637965000000037</v>
      </c>
      <c r="D27" s="89">
        <f>+(D$26*$B27-$G$13-$G$17)</f>
        <v>-75.197965000000039</v>
      </c>
      <c r="E27" s="89">
        <f t="shared" ref="E27:G27" si="0">+(E$26*$B27-$G$13-$G$17)</f>
        <v>-68.757965000000041</v>
      </c>
      <c r="F27" s="89">
        <f t="shared" si="0"/>
        <v>-62.317965000000008</v>
      </c>
      <c r="G27" s="90">
        <f t="shared" si="0"/>
        <v>-55.877965000000039</v>
      </c>
      <c r="I27" s="87">
        <f>+I29*0.8</f>
        <v>24</v>
      </c>
      <c r="J27" s="88">
        <f>+(J$26*$I27+$N$8-$N$13-$N$17)</f>
        <v>-59.905354000000038</v>
      </c>
      <c r="K27" s="89">
        <f t="shared" ref="K27:N27" si="1">+(K$26*$I27+$N$8-$N$13-$N$17)</f>
        <v>-54.385354000000028</v>
      </c>
      <c r="L27" s="89">
        <f t="shared" si="1"/>
        <v>-48.865354000000018</v>
      </c>
      <c r="M27" s="89">
        <f t="shared" si="1"/>
        <v>-43.345354000000007</v>
      </c>
      <c r="N27" s="90">
        <f t="shared" si="1"/>
        <v>-37.825354000000026</v>
      </c>
      <c r="P27" s="87">
        <f>+P29*0.8</f>
        <v>24</v>
      </c>
      <c r="Q27" s="88">
        <f>+(Q$26*$P27*$U$6+$U$8-$U$13-$U$17)</f>
        <v>-44.345353999999979</v>
      </c>
      <c r="R27" s="89">
        <f t="shared" ref="R27:U27" si="2">+(R$26*$P27*$U$6+$U$8-$U$13-$U$17)</f>
        <v>-40.89535399999999</v>
      </c>
      <c r="S27" s="89">
        <f t="shared" si="2"/>
        <v>-37.445354000000002</v>
      </c>
      <c r="T27" s="89">
        <f t="shared" si="2"/>
        <v>-33.995353999999985</v>
      </c>
      <c r="U27" s="90">
        <f t="shared" si="2"/>
        <v>-30.545353999999968</v>
      </c>
      <c r="W27" s="87">
        <f>+W29*0.9</f>
        <v>207.465</v>
      </c>
      <c r="X27" s="88">
        <f>+(X$26*$W27)-$AB$13-$AB$17</f>
        <v>-40.308712499999992</v>
      </c>
      <c r="Y27" s="89">
        <f t="shared" ref="Y27:AB27" si="3">+(Y$26*$W27)-$AB$13-$AB$17</f>
        <v>-28.898137499999997</v>
      </c>
      <c r="Z27" s="89">
        <f t="shared" si="3"/>
        <v>-17.487562499999989</v>
      </c>
      <c r="AA27" s="89">
        <f t="shared" si="3"/>
        <v>-11.782274999999977</v>
      </c>
      <c r="AB27" s="90">
        <f t="shared" si="3"/>
        <v>-6.07698749999998</v>
      </c>
      <c r="AD27" s="87">
        <f>+AD29*0.8</f>
        <v>48</v>
      </c>
      <c r="AE27" s="88">
        <f>+(AE$26*$AD27*$AI$6+$AI$8-$AI$13-$AI$17)</f>
        <v>-98.926215000000028</v>
      </c>
      <c r="AF27" s="89">
        <f t="shared" ref="AF27:AI27" si="4">+(AF$26*$AD27*$AI$6+$AI$8-$AI$13-$AI$17)</f>
        <v>-87.886215000000036</v>
      </c>
      <c r="AG27" s="89">
        <f t="shared" si="4"/>
        <v>-76.846215000000015</v>
      </c>
      <c r="AH27" s="89">
        <f t="shared" si="4"/>
        <v>-65.806214999999995</v>
      </c>
      <c r="AI27" s="90">
        <f t="shared" si="4"/>
        <v>-54.766214999999974</v>
      </c>
    </row>
    <row r="28" spans="2:35" x14ac:dyDescent="0.45">
      <c r="B28" s="91">
        <f>+B29*0.9</f>
        <v>31.5</v>
      </c>
      <c r="C28" s="92">
        <f t="shared" ref="C28:G31" si="5">+(C$26*$B28-$G$13-$G$17)</f>
        <v>-67.147965000000028</v>
      </c>
      <c r="D28" s="93">
        <f t="shared" si="5"/>
        <v>-59.902965000000044</v>
      </c>
      <c r="E28" s="93">
        <f t="shared" si="5"/>
        <v>-52.65796500000004</v>
      </c>
      <c r="F28" s="93">
        <f t="shared" si="5"/>
        <v>-45.412965000000007</v>
      </c>
      <c r="G28" s="94">
        <f t="shared" si="5"/>
        <v>-38.167965000000031</v>
      </c>
      <c r="I28" s="91">
        <f>+I29*0.9</f>
        <v>27</v>
      </c>
      <c r="J28" s="92">
        <f t="shared" ref="J28:N31" si="6">+(J$26*$I28+$N$8-$N$13-$N$17)</f>
        <v>-47.485354000000022</v>
      </c>
      <c r="K28" s="93">
        <f t="shared" si="6"/>
        <v>-41.275354000000043</v>
      </c>
      <c r="L28" s="93">
        <f t="shared" si="6"/>
        <v>-35.065354000000035</v>
      </c>
      <c r="M28" s="93">
        <f t="shared" si="6"/>
        <v>-28.855354000000027</v>
      </c>
      <c r="N28" s="94">
        <f t="shared" si="6"/>
        <v>-22.645354000000047</v>
      </c>
      <c r="P28" s="91">
        <f>+P29*0.9</f>
        <v>27</v>
      </c>
      <c r="Q28" s="92">
        <f t="shared" ref="Q28:U31" si="7">+(Q$26*$P28*$U$6+$U$8-$U$13-$U$17)</f>
        <v>-36.58285399999999</v>
      </c>
      <c r="R28" s="93">
        <f t="shared" si="7"/>
        <v>-32.701603999999996</v>
      </c>
      <c r="S28" s="93">
        <f t="shared" si="7"/>
        <v>-28.820354000000002</v>
      </c>
      <c r="T28" s="93">
        <f t="shared" si="7"/>
        <v>-24.939103999999979</v>
      </c>
      <c r="U28" s="94">
        <f t="shared" si="7"/>
        <v>-21.057854000000013</v>
      </c>
      <c r="W28" s="91">
        <f>+W29*0.95</f>
        <v>218.99083333333334</v>
      </c>
      <c r="X28" s="92">
        <f t="shared" ref="X28:AB31" si="8">+(X$26*$W28)-$AB$13-$AB$17</f>
        <v>-35.237345833333315</v>
      </c>
      <c r="Y28" s="93">
        <f t="shared" si="8"/>
        <v>-23.192849999999986</v>
      </c>
      <c r="Z28" s="93">
        <f t="shared" si="8"/>
        <v>-11.148354166666657</v>
      </c>
      <c r="AA28" s="93">
        <f t="shared" si="8"/>
        <v>-5.126106249999971</v>
      </c>
      <c r="AB28" s="94">
        <f t="shared" si="8"/>
        <v>0.89614166666668638</v>
      </c>
      <c r="AD28" s="91">
        <f>+AD29*0.9</f>
        <v>54</v>
      </c>
      <c r="AE28" s="92">
        <f t="shared" ref="AE28:AI31" si="9">+(AE$26*$AD28*$AI$6+$AI$8-$AI$13-$AI$17)</f>
        <v>-74.086215000000024</v>
      </c>
      <c r="AF28" s="93">
        <f t="shared" si="9"/>
        <v>-61.666215000000008</v>
      </c>
      <c r="AG28" s="93">
        <f t="shared" si="9"/>
        <v>-49.246214999999992</v>
      </c>
      <c r="AH28" s="93">
        <f t="shared" si="9"/>
        <v>-36.826214999999976</v>
      </c>
      <c r="AI28" s="94">
        <f t="shared" si="9"/>
        <v>-24.406215000000017</v>
      </c>
    </row>
    <row r="29" spans="2:35" x14ac:dyDescent="0.45">
      <c r="B29" s="115">
        <f>+G3</f>
        <v>35</v>
      </c>
      <c r="C29" s="92">
        <f t="shared" si="5"/>
        <v>-52.65796500000004</v>
      </c>
      <c r="D29" s="93">
        <f t="shared" si="5"/>
        <v>-44.607965000000057</v>
      </c>
      <c r="E29" s="93">
        <f t="shared" si="5"/>
        <v>-36.557965000000017</v>
      </c>
      <c r="F29" s="93">
        <f t="shared" si="5"/>
        <v>-28.507965000000006</v>
      </c>
      <c r="G29" s="94">
        <f t="shared" si="5"/>
        <v>-20.457965000000023</v>
      </c>
      <c r="I29" s="115">
        <f>+N3</f>
        <v>30</v>
      </c>
      <c r="J29" s="92">
        <f t="shared" si="6"/>
        <v>-35.065354000000035</v>
      </c>
      <c r="K29" s="93">
        <f t="shared" si="6"/>
        <v>-28.165354000000058</v>
      </c>
      <c r="L29" s="93">
        <f t="shared" si="6"/>
        <v>-21.265354000000023</v>
      </c>
      <c r="M29" s="93">
        <f t="shared" si="6"/>
        <v>-14.365354000000018</v>
      </c>
      <c r="N29" s="94">
        <f t="shared" si="6"/>
        <v>-7.4653540000000405</v>
      </c>
      <c r="P29" s="115">
        <f>+U3</f>
        <v>30</v>
      </c>
      <c r="Q29" s="92">
        <f t="shared" si="7"/>
        <v>-28.820354000000002</v>
      </c>
      <c r="R29" s="93">
        <f t="shared" si="7"/>
        <v>-24.507854000000002</v>
      </c>
      <c r="S29" s="93">
        <f t="shared" si="7"/>
        <v>-20.195354000000002</v>
      </c>
      <c r="T29" s="93">
        <f t="shared" si="7"/>
        <v>-15.882854000000002</v>
      </c>
      <c r="U29" s="94">
        <f t="shared" si="7"/>
        <v>-11.570354000000002</v>
      </c>
      <c r="W29" s="115">
        <f>+AB4</f>
        <v>230.51666666666668</v>
      </c>
      <c r="X29" s="92">
        <f t="shared" si="8"/>
        <v>-30.165979166666652</v>
      </c>
      <c r="Y29" s="93">
        <f t="shared" si="8"/>
        <v>-17.487562499999989</v>
      </c>
      <c r="Z29" s="93">
        <f t="shared" si="8"/>
        <v>-4.809145833333325</v>
      </c>
      <c r="AA29" s="93">
        <f t="shared" si="8"/>
        <v>1.5300625000000352</v>
      </c>
      <c r="AB29" s="94">
        <f t="shared" si="8"/>
        <v>7.8692708333333528</v>
      </c>
      <c r="AD29" s="115">
        <f>+AI3</f>
        <v>60</v>
      </c>
      <c r="AE29" s="92">
        <f t="shared" si="9"/>
        <v>-49.246214999999992</v>
      </c>
      <c r="AF29" s="93">
        <f t="shared" si="9"/>
        <v>-35.446215000000038</v>
      </c>
      <c r="AG29" s="93">
        <f t="shared" si="9"/>
        <v>-21.64621499999997</v>
      </c>
      <c r="AH29" s="93">
        <f t="shared" si="9"/>
        <v>-7.8462149999999582</v>
      </c>
      <c r="AI29" s="94">
        <f t="shared" si="9"/>
        <v>5.9537849999999963</v>
      </c>
    </row>
    <row r="30" spans="2:35" x14ac:dyDescent="0.45">
      <c r="B30" s="91">
        <f>+B29*1.1</f>
        <v>38.5</v>
      </c>
      <c r="C30" s="92">
        <f t="shared" si="5"/>
        <v>-38.167965000000031</v>
      </c>
      <c r="D30" s="93">
        <f t="shared" si="5"/>
        <v>-29.312965000000041</v>
      </c>
      <c r="E30" s="93">
        <f t="shared" si="5"/>
        <v>-20.457965000000023</v>
      </c>
      <c r="F30" s="93">
        <f t="shared" si="5"/>
        <v>-11.602965000000005</v>
      </c>
      <c r="G30" s="94">
        <f t="shared" si="5"/>
        <v>-2.7479650000000433</v>
      </c>
      <c r="I30" s="91">
        <f>+I29*1.1</f>
        <v>33</v>
      </c>
      <c r="J30" s="92">
        <f t="shared" si="6"/>
        <v>-22.645354000000047</v>
      </c>
      <c r="K30" s="93">
        <f t="shared" si="6"/>
        <v>-15.055354000000044</v>
      </c>
      <c r="L30" s="93">
        <f t="shared" si="6"/>
        <v>-7.4653540000000405</v>
      </c>
      <c r="M30" s="93">
        <f t="shared" si="6"/>
        <v>0.12464599999999137</v>
      </c>
      <c r="N30" s="94">
        <f t="shared" si="6"/>
        <v>7.7146459999999664</v>
      </c>
      <c r="P30" s="91">
        <f>+P29*1.1</f>
        <v>33</v>
      </c>
      <c r="Q30" s="92">
        <f t="shared" si="7"/>
        <v>-21.057854000000013</v>
      </c>
      <c r="R30" s="93">
        <f t="shared" si="7"/>
        <v>-16.314103999999979</v>
      </c>
      <c r="S30" s="93">
        <f t="shared" si="7"/>
        <v>-11.570354000000002</v>
      </c>
      <c r="T30" s="93">
        <f t="shared" si="7"/>
        <v>-6.8266039999999677</v>
      </c>
      <c r="U30" s="94">
        <f t="shared" si="7"/>
        <v>-2.0828539999999904</v>
      </c>
      <c r="W30" s="91">
        <f>+W29*1.05</f>
        <v>242.04250000000002</v>
      </c>
      <c r="X30" s="92">
        <f t="shared" si="8"/>
        <v>-25.094612499999975</v>
      </c>
      <c r="Y30" s="93">
        <f t="shared" si="8"/>
        <v>-11.782274999999977</v>
      </c>
      <c r="Z30" s="93">
        <f t="shared" si="8"/>
        <v>1.5300625000000068</v>
      </c>
      <c r="AA30" s="93">
        <f t="shared" si="8"/>
        <v>8.1862312500000414</v>
      </c>
      <c r="AB30" s="94">
        <f t="shared" si="8"/>
        <v>14.842400000000019</v>
      </c>
      <c r="AD30" s="91">
        <f>+AD29*1.1</f>
        <v>66</v>
      </c>
      <c r="AE30" s="92">
        <f t="shared" si="9"/>
        <v>-24.406215000000017</v>
      </c>
      <c r="AF30" s="93">
        <f t="shared" si="9"/>
        <v>-9.2262150000000105</v>
      </c>
      <c r="AG30" s="93">
        <f t="shared" si="9"/>
        <v>5.9537849999999963</v>
      </c>
      <c r="AH30" s="93">
        <f t="shared" si="9"/>
        <v>21.13378500000006</v>
      </c>
      <c r="AI30" s="94">
        <f t="shared" si="9"/>
        <v>36.31378500000001</v>
      </c>
    </row>
    <row r="31" spans="2:35" ht="14.65" thickBot="1" x14ac:dyDescent="0.5">
      <c r="B31" s="95">
        <f>+B29*1.2</f>
        <v>42</v>
      </c>
      <c r="C31" s="96">
        <f t="shared" si="5"/>
        <v>-23.677965000000022</v>
      </c>
      <c r="D31" s="97">
        <f t="shared" si="5"/>
        <v>-14.017965000000054</v>
      </c>
      <c r="E31" s="97">
        <f t="shared" si="5"/>
        <v>-4.3579650000000285</v>
      </c>
      <c r="F31" s="97">
        <f t="shared" si="5"/>
        <v>5.3020349999999965</v>
      </c>
      <c r="G31" s="98">
        <f t="shared" si="5"/>
        <v>14.962034999999965</v>
      </c>
      <c r="I31" s="95">
        <f>+I29*1.2</f>
        <v>36</v>
      </c>
      <c r="J31" s="96">
        <f t="shared" si="6"/>
        <v>-10.225354000000031</v>
      </c>
      <c r="K31" s="97">
        <f t="shared" si="6"/>
        <v>-1.9453540000000586</v>
      </c>
      <c r="L31" s="97">
        <f t="shared" si="6"/>
        <v>6.3346459999999709</v>
      </c>
      <c r="M31" s="97">
        <f t="shared" si="6"/>
        <v>14.614645999999972</v>
      </c>
      <c r="N31" s="98">
        <f t="shared" si="6"/>
        <v>22.894645999999973</v>
      </c>
      <c r="P31" s="95">
        <f>+P29*1.2</f>
        <v>36</v>
      </c>
      <c r="Q31" s="96">
        <f t="shared" si="7"/>
        <v>-13.295353999999996</v>
      </c>
      <c r="R31" s="97">
        <f t="shared" si="7"/>
        <v>-8.1203540000000132</v>
      </c>
      <c r="S31" s="97">
        <f t="shared" si="7"/>
        <v>-2.9453540000000018</v>
      </c>
      <c r="T31" s="97">
        <f t="shared" si="7"/>
        <v>2.2296460000000096</v>
      </c>
      <c r="U31" s="98">
        <f t="shared" si="7"/>
        <v>7.4046460000000209</v>
      </c>
      <c r="W31" s="95">
        <f>+W30*1.1</f>
        <v>266.24675000000002</v>
      </c>
      <c r="X31" s="96">
        <f t="shared" si="8"/>
        <v>-14.444742499999982</v>
      </c>
      <c r="Y31" s="97">
        <f t="shared" si="8"/>
        <v>0.19882875000001121</v>
      </c>
      <c r="Z31" s="97">
        <f t="shared" si="8"/>
        <v>14.842400000000019</v>
      </c>
      <c r="AA31" s="97">
        <f t="shared" si="8"/>
        <v>22.164185625000037</v>
      </c>
      <c r="AB31" s="98">
        <f t="shared" si="8"/>
        <v>29.485971250000027</v>
      </c>
      <c r="AD31" s="95">
        <f>+AD29*1.2</f>
        <v>72</v>
      </c>
      <c r="AE31" s="96">
        <f t="shared" si="9"/>
        <v>0.43378500000001452</v>
      </c>
      <c r="AF31" s="97">
        <f t="shared" si="9"/>
        <v>16.99378499999996</v>
      </c>
      <c r="AG31" s="97">
        <f t="shared" si="9"/>
        <v>33.553785000000019</v>
      </c>
      <c r="AH31" s="97">
        <f t="shared" si="9"/>
        <v>50.113785000000021</v>
      </c>
      <c r="AI31" s="98">
        <f t="shared" si="9"/>
        <v>66.673785000000024</v>
      </c>
    </row>
    <row r="32" spans="2:35" ht="15" thickTop="1" thickBot="1" x14ac:dyDescent="0.5"/>
    <row r="33" spans="2:35" ht="15" thickTop="1" thickBot="1" x14ac:dyDescent="0.5">
      <c r="B33" s="140" t="s">
        <v>160</v>
      </c>
      <c r="C33" s="141"/>
      <c r="D33" s="141"/>
      <c r="E33" s="141"/>
      <c r="F33" s="141"/>
      <c r="G33" s="142"/>
      <c r="I33" s="140" t="s">
        <v>160</v>
      </c>
      <c r="J33" s="141"/>
      <c r="K33" s="141"/>
      <c r="L33" s="141"/>
      <c r="M33" s="141"/>
      <c r="N33" s="142"/>
      <c r="P33" s="140" t="s">
        <v>160</v>
      </c>
      <c r="Q33" s="141"/>
      <c r="R33" s="141"/>
      <c r="S33" s="141"/>
      <c r="T33" s="141"/>
      <c r="U33" s="142"/>
      <c r="W33" s="140" t="s">
        <v>160</v>
      </c>
      <c r="X33" s="141"/>
      <c r="Y33" s="141"/>
      <c r="Z33" s="141"/>
      <c r="AA33" s="141"/>
      <c r="AB33" s="142"/>
      <c r="AD33" s="140" t="s">
        <v>160</v>
      </c>
      <c r="AE33" s="141"/>
      <c r="AF33" s="141"/>
      <c r="AG33" s="141"/>
      <c r="AH33" s="141"/>
      <c r="AI33" s="142"/>
    </row>
    <row r="34" spans="2:35" ht="14.65" thickTop="1" x14ac:dyDescent="0.45">
      <c r="B34" s="85" t="s">
        <v>59</v>
      </c>
      <c r="C34" s="143" t="s">
        <v>161</v>
      </c>
      <c r="D34" s="144"/>
      <c r="E34" s="144" t="s">
        <v>61</v>
      </c>
      <c r="F34" s="144"/>
      <c r="G34" s="145"/>
      <c r="I34" s="85" t="s">
        <v>59</v>
      </c>
      <c r="J34" s="143" t="s">
        <v>161</v>
      </c>
      <c r="K34" s="144"/>
      <c r="L34" s="144" t="s">
        <v>61</v>
      </c>
      <c r="M34" s="144"/>
      <c r="N34" s="145"/>
      <c r="P34" s="85" t="s">
        <v>59</v>
      </c>
      <c r="Q34" s="143" t="s">
        <v>161</v>
      </c>
      <c r="R34" s="144"/>
      <c r="S34" s="144" t="s">
        <v>61</v>
      </c>
      <c r="T34" s="144"/>
      <c r="U34" s="145"/>
      <c r="W34" s="85" t="s">
        <v>138</v>
      </c>
      <c r="X34" s="143" t="s">
        <v>136</v>
      </c>
      <c r="Y34" s="144"/>
      <c r="Z34" s="144"/>
      <c r="AA34" s="144"/>
      <c r="AB34" s="145"/>
      <c r="AD34" s="85" t="s">
        <v>59</v>
      </c>
      <c r="AE34" s="143" t="s">
        <v>161</v>
      </c>
      <c r="AF34" s="144"/>
      <c r="AG34" s="144" t="s">
        <v>61</v>
      </c>
      <c r="AH34" s="144"/>
      <c r="AI34" s="145"/>
    </row>
    <row r="35" spans="2:35" ht="14.65" thickBot="1" x14ac:dyDescent="0.5">
      <c r="B35" s="86"/>
      <c r="C35" s="99">
        <f>+E35*0.9</f>
        <v>4.1399999999999997</v>
      </c>
      <c r="D35" s="100">
        <f>+E35*0.95</f>
        <v>4.3699999999999992</v>
      </c>
      <c r="E35" s="114">
        <f>+E26</f>
        <v>4.5999999999999996</v>
      </c>
      <c r="F35" s="100">
        <f>+E35*1.05</f>
        <v>4.83</v>
      </c>
      <c r="G35" s="101">
        <f>+E35*1.1</f>
        <v>5.0599999999999996</v>
      </c>
      <c r="I35" s="86"/>
      <c r="J35" s="99">
        <f>+L35*0.9</f>
        <v>4.1399999999999997</v>
      </c>
      <c r="K35" s="100">
        <f>+L35*0.95</f>
        <v>4.3699999999999992</v>
      </c>
      <c r="L35" s="114">
        <f>+L26</f>
        <v>4.5999999999999996</v>
      </c>
      <c r="M35" s="100">
        <f>+L35*1.05</f>
        <v>4.83</v>
      </c>
      <c r="N35" s="101">
        <f>+L35*1.1</f>
        <v>5.0599999999999996</v>
      </c>
      <c r="P35" s="86"/>
      <c r="Q35" s="99">
        <f>+S35*0.9</f>
        <v>4.1399999999999997</v>
      </c>
      <c r="R35" s="100">
        <f>+S35*0.95</f>
        <v>4.3699999999999992</v>
      </c>
      <c r="S35" s="114">
        <f>+S26</f>
        <v>4.5999999999999996</v>
      </c>
      <c r="T35" s="100">
        <f>+S35*1.05</f>
        <v>4.83</v>
      </c>
      <c r="U35" s="101">
        <f>+S35*1.1</f>
        <v>5.0599999999999996</v>
      </c>
      <c r="W35" s="86" t="s">
        <v>8</v>
      </c>
      <c r="X35" s="99">
        <f>+Z35*0.8</f>
        <v>0.44000000000000006</v>
      </c>
      <c r="Y35" s="100">
        <f>+Z35*0.9</f>
        <v>0.49500000000000005</v>
      </c>
      <c r="Z35" s="114">
        <f>+Z26</f>
        <v>0.55000000000000004</v>
      </c>
      <c r="AA35" s="100">
        <f>+Z35*1.05</f>
        <v>0.57750000000000012</v>
      </c>
      <c r="AB35" s="101">
        <f>+Z35*1.1</f>
        <v>0.60500000000000009</v>
      </c>
      <c r="AD35" s="86"/>
      <c r="AE35" s="99">
        <f>+AE26</f>
        <v>4.1399999999999997</v>
      </c>
      <c r="AF35" s="100">
        <f>+AG35*0.95</f>
        <v>4.3699999999999992</v>
      </c>
      <c r="AG35" s="114">
        <f>+AG26</f>
        <v>4.5999999999999996</v>
      </c>
      <c r="AH35" s="100">
        <f>+AG35*1.05</f>
        <v>4.83</v>
      </c>
      <c r="AI35" s="101">
        <f>+AG35*1.1</f>
        <v>5.0599999999999996</v>
      </c>
    </row>
    <row r="36" spans="2:35" ht="14.65" thickTop="1" x14ac:dyDescent="0.45">
      <c r="B36" s="87">
        <f>+B38*0.8</f>
        <v>28</v>
      </c>
      <c r="C36" s="88">
        <f>+(C$26*$B36-$G$13-$G$17)+'Wheat Grain'!$G$37+'Wheat Grain'!$G$42</f>
        <v>-66.397965000000042</v>
      </c>
      <c r="D36" s="89">
        <f>+(D$26*$B36-$G$13-$G$17)+'Wheat Grain'!$G$37+'Wheat Grain'!$G$42</f>
        <v>-59.957965000000037</v>
      </c>
      <c r="E36" s="89">
        <f>+(E$26*$B36-$G$13-$G$17)+'Wheat Grain'!$G$37+'Wheat Grain'!$G$42</f>
        <v>-53.517965000000039</v>
      </c>
      <c r="F36" s="89">
        <f>+(F$26*$B36-$G$13-$G$17)+'Wheat Grain'!$G$37+'Wheat Grain'!$G$42</f>
        <v>-47.077965000000006</v>
      </c>
      <c r="G36" s="90">
        <f>+(G$26*$B36-$G$13-$G$17)+'Wheat Grain'!$G$37+'Wheat Grain'!$G$42</f>
        <v>-40.637965000000037</v>
      </c>
      <c r="I36" s="87">
        <f>+I38*0.8</f>
        <v>24</v>
      </c>
      <c r="J36" s="88">
        <f>+(J$26*$I36+$N$8-$N$13-$N$17)+'Wheat Dual  ~700Lb'!$G$37+'Wheat Dual  ~700Lb'!$G$42</f>
        <v>-44.665354000000036</v>
      </c>
      <c r="K36" s="89">
        <f>+(K$26*$I36+$N$8-$N$13-$N$17)+'Wheat Dual  ~700Lb'!$G$37+'Wheat Dual  ~700Lb'!$G$42</f>
        <v>-39.145354000000026</v>
      </c>
      <c r="L36" s="89">
        <f>+(L$26*$I36+$N$8-$N$13-$N$17)+'Wheat Dual  ~700Lb'!$G$37+'Wheat Dual  ~700Lb'!$G$42</f>
        <v>-33.625354000000016</v>
      </c>
      <c r="M36" s="89">
        <f>+(M$26*$I36+$N$8-$N$13-$N$17)+'Wheat Dual  ~700Lb'!$G$37+'Wheat Dual  ~700Lb'!$G$42</f>
        <v>-28.105354000000005</v>
      </c>
      <c r="N36" s="90">
        <f>+(N$26*$I36+$N$8-$N$13-$N$17)+'Wheat Dual  ~700Lb'!$G$37+'Wheat Dual  ~700Lb'!$G$42</f>
        <v>-22.585354000000024</v>
      </c>
      <c r="P36" s="87">
        <f>+P38*0.8</f>
        <v>24</v>
      </c>
      <c r="Q36" s="88">
        <f>+(Q$26*$P36*$U$6+$U$8-$U$13-$U$17)+'Wheat Dual ~800Lb'!$G$37+'Wheat Dual ~800Lb'!$G$42</f>
        <v>-29.105353999999977</v>
      </c>
      <c r="R36" s="89">
        <f>+(R$26*$P36*$U$6+$U$8-$U$13-$U$17)+'Wheat Dual ~800Lb'!$G$37+'Wheat Dual ~800Lb'!$G$42</f>
        <v>-25.655353999999988</v>
      </c>
      <c r="S36" s="89">
        <f>+(S$26*$P36*$U$6+$U$8-$U$13-$U$17)+'Wheat Dual ~800Lb'!$G$37+'Wheat Dual ~800Lb'!$G$42</f>
        <v>-22.205354</v>
      </c>
      <c r="T36" s="89">
        <f>+(T$26*$P36*$U$6+$U$8-$U$13-$U$17)+'Wheat Dual ~800Lb'!$G$37+'Wheat Dual ~800Lb'!$G$42</f>
        <v>-18.755353999999983</v>
      </c>
      <c r="U36" s="90">
        <f>+(U$26*$P36*$U$6+$U$8-$U$13-$U$17)+'Wheat Dual ~800Lb'!$G$37+'Wheat Dual ~800Lb'!$G$42</f>
        <v>-15.305353999999966</v>
      </c>
      <c r="W36" s="87">
        <f>+W38*0.9</f>
        <v>207.465</v>
      </c>
      <c r="X36" s="88">
        <f>+(X$26*$W36)-$AB$13-$AB$17+'Wheat Graze Out'!$G$37+'Wheat Graze Out'!$G$42</f>
        <v>-28.56871249999999</v>
      </c>
      <c r="Y36" s="89">
        <f>+(Y$26*$W36)-$AB$13-$AB$17+'Wheat Graze Out'!$G$37+'Wheat Graze Out'!$G$42</f>
        <v>-17.158137499999995</v>
      </c>
      <c r="Z36" s="89">
        <f>+(Z$26*$W36)-$AB$13-$AB$17+'Wheat Graze Out'!$G$37+'Wheat Graze Out'!$G$42</f>
        <v>-5.7475624999999884</v>
      </c>
      <c r="AA36" s="89">
        <f>+(AA$26*$W36)-$AB$13-$AB$17+'Wheat Graze Out'!$G$37+'Wheat Graze Out'!$G$42</f>
        <v>-4.227499999997697E-2</v>
      </c>
      <c r="AB36" s="90">
        <f>+(AB$26*$W36)-$AB$13-$AB$17+'Wheat Graze Out'!$G$37+'Wheat Graze Out'!$G$42</f>
        <v>5.6630125000000202</v>
      </c>
      <c r="AD36" s="87">
        <f>+AD38*0.8</f>
        <v>48</v>
      </c>
      <c r="AE36" s="88">
        <f>+(AE$26*$AD36*$AI$6+$AI$8-$AI$13-$AI$17)+'Irrigated Wheat'!$G$37+'Irrigated Wheat'!$G$42</f>
        <v>-48.196215000000024</v>
      </c>
      <c r="AF36" s="89">
        <f>+(AF$26*$AD36*$AI$6+$AI$8-$AI$13-$AI$17)+'Irrigated Wheat'!$G$37+'Irrigated Wheat'!$G$42</f>
        <v>-37.156215000000032</v>
      </c>
      <c r="AG36" s="89">
        <f>+(AG$26*$AD36*$AI$6+$AI$8-$AI$13-$AI$17)+'Irrigated Wheat'!$G$37+'Irrigated Wheat'!$G$42</f>
        <v>-26.116215000000011</v>
      </c>
      <c r="AH36" s="89">
        <f>+(AH$26*$AD36*$AI$6+$AI$8-$AI$13-$AI$17)+'Irrigated Wheat'!$G$37+'Irrigated Wheat'!$G$42</f>
        <v>-15.076214999999991</v>
      </c>
      <c r="AI36" s="90">
        <f>+(AI$26*$AD36*$AI$6+$AI$8-$AI$13-$AI$17)+'Irrigated Wheat'!$G$37+'Irrigated Wheat'!$G$42</f>
        <v>-4.0362149999999701</v>
      </c>
    </row>
    <row r="37" spans="2:35" x14ac:dyDescent="0.45">
      <c r="B37" s="91">
        <f>+B38*0.9</f>
        <v>31.5</v>
      </c>
      <c r="C37" s="92">
        <f>+(C$26*$B37-$G$13-$G$17)+'Wheat Grain'!$G$37+'Wheat Grain'!$G$42</f>
        <v>-51.907965000000026</v>
      </c>
      <c r="D37" s="93">
        <f>+(D$26*$B37-$G$13-$G$17)+'Wheat Grain'!$G$37+'Wheat Grain'!$G$42</f>
        <v>-44.662965000000042</v>
      </c>
      <c r="E37" s="93">
        <f>+(E$26*$B37-$G$13-$G$17)+'Wheat Grain'!$G$37+'Wheat Grain'!$G$42</f>
        <v>-37.417965000000038</v>
      </c>
      <c r="F37" s="93">
        <f>+(F$26*$B37-$G$13-$G$17)+'Wheat Grain'!$G$37+'Wheat Grain'!$G$42</f>
        <v>-30.172965000000005</v>
      </c>
      <c r="G37" s="94">
        <f>+(G$26*$B37-$G$13-$G$17)+'Wheat Grain'!$G$37+'Wheat Grain'!$G$42</f>
        <v>-22.927965000000029</v>
      </c>
      <c r="I37" s="91">
        <f>+I38*0.9</f>
        <v>27</v>
      </c>
      <c r="J37" s="92">
        <f>+(J$26*$I37+$N$8-$N$13-$N$17)+'Wheat Dual  ~700Lb'!$G$37+'Wheat Dual  ~700Lb'!$G$42</f>
        <v>-32.24535400000002</v>
      </c>
      <c r="K37" s="93">
        <f>+(K$26*$I37+$N$8-$N$13-$N$17)+'Wheat Dual  ~700Lb'!$G$37+'Wheat Dual  ~700Lb'!$G$42</f>
        <v>-26.035354000000041</v>
      </c>
      <c r="L37" s="93">
        <f>+(L$26*$I37+$N$8-$N$13-$N$17)+'Wheat Dual  ~700Lb'!$G$37+'Wheat Dual  ~700Lb'!$G$42</f>
        <v>-19.825354000000033</v>
      </c>
      <c r="M37" s="93">
        <f>+(M$26*$I37+$N$8-$N$13-$N$17)+'Wheat Dual  ~700Lb'!$G$37+'Wheat Dual  ~700Lb'!$G$42</f>
        <v>-13.615354000000025</v>
      </c>
      <c r="N37" s="94">
        <f>+(N$26*$I37+$N$8-$N$13-$N$17)+'Wheat Dual  ~700Lb'!$G$37+'Wheat Dual  ~700Lb'!$G$42</f>
        <v>-7.4053540000000471</v>
      </c>
      <c r="P37" s="91">
        <f>+P38*0.9</f>
        <v>27</v>
      </c>
      <c r="Q37" s="92">
        <f>+(Q$26*$P37*$U$6+$U$8-$U$13-$U$17)+'Wheat Dual ~800Lb'!$G$37+'Wheat Dual ~800Lb'!$G$42</f>
        <v>-21.342853999999988</v>
      </c>
      <c r="R37" s="93">
        <f>+(R$26*$P37*$U$6+$U$8-$U$13-$U$17)+'Wheat Dual ~800Lb'!$G$37+'Wheat Dual ~800Lb'!$G$42</f>
        <v>-17.461603999999994</v>
      </c>
      <c r="S37" s="93">
        <f>+(S$26*$P37*$U$6+$U$8-$U$13-$U$17)+'Wheat Dual ~800Lb'!$G$37+'Wheat Dual ~800Lb'!$G$42</f>
        <v>-13.580354</v>
      </c>
      <c r="T37" s="93">
        <f>+(T$26*$P37*$U$6+$U$8-$U$13-$U$17)+'Wheat Dual ~800Lb'!$G$37+'Wheat Dual ~800Lb'!$G$42</f>
        <v>-9.6991039999999789</v>
      </c>
      <c r="U37" s="94">
        <f>+(U$26*$P37*$U$6+$U$8-$U$13-$U$17)+'Wheat Dual ~800Lb'!$G$37+'Wheat Dual ~800Lb'!$G$42</f>
        <v>-5.817854000000013</v>
      </c>
      <c r="W37" s="91">
        <f>+W38*0.95</f>
        <v>218.99083333333334</v>
      </c>
      <c r="X37" s="92">
        <f>+(X$26*$W37)-$AB$13-$AB$17+'Wheat Graze Out'!$G$37+'Wheat Graze Out'!$G$42</f>
        <v>-23.497345833333313</v>
      </c>
      <c r="Y37" s="93">
        <f>+(Y$26*$W37)-$AB$13-$AB$17+'Wheat Graze Out'!$G$37+'Wheat Graze Out'!$G$42</f>
        <v>-11.452849999999986</v>
      </c>
      <c r="Z37" s="93">
        <f>+(Z$26*$W37)-$AB$13-$AB$17+'Wheat Graze Out'!$G$37+'Wheat Graze Out'!$G$42</f>
        <v>0.59164583333334342</v>
      </c>
      <c r="AA37" s="93">
        <f>+(AA$26*$W37)-$AB$13-$AB$17+'Wheat Graze Out'!$G$37+'Wheat Graze Out'!$G$42</f>
        <v>6.6138937500000292</v>
      </c>
      <c r="AB37" s="94">
        <f>+(AB$26*$W37)-$AB$13-$AB$17+'Wheat Graze Out'!$G$37+'Wheat Graze Out'!$G$42</f>
        <v>12.636141666666687</v>
      </c>
      <c r="AD37" s="91">
        <f>+AD38*0.9</f>
        <v>54</v>
      </c>
      <c r="AE37" s="92">
        <f>+(AE$26*$AD37*$AI$6+$AI$8-$AI$13-$AI$17)+'Irrigated Wheat'!$G$37+'Irrigated Wheat'!$G$42</f>
        <v>-23.35621500000002</v>
      </c>
      <c r="AF37" s="93">
        <f>+(AF$26*$AD37*$AI$6+$AI$8-$AI$13-$AI$17)+'Irrigated Wheat'!$G$37+'Irrigated Wheat'!$G$42</f>
        <v>-10.936215000000004</v>
      </c>
      <c r="AG37" s="93">
        <f>+(AG$26*$AD37*$AI$6+$AI$8-$AI$13-$AI$17)+'Irrigated Wheat'!$G$37+'Irrigated Wheat'!$G$42</f>
        <v>1.4837850000000117</v>
      </c>
      <c r="AH37" s="93">
        <f>+(AH$26*$AD37*$AI$6+$AI$8-$AI$13-$AI$17)+'Irrigated Wheat'!$G$37+'Irrigated Wheat'!$G$42</f>
        <v>13.903785000000028</v>
      </c>
      <c r="AI37" s="94">
        <f>+(AI$26*$AD37*$AI$6+$AI$8-$AI$13-$AI$17)+'Irrigated Wheat'!$G$37+'Irrigated Wheat'!$G$42</f>
        <v>26.323784999999987</v>
      </c>
    </row>
    <row r="38" spans="2:35" x14ac:dyDescent="0.45">
      <c r="B38" s="115">
        <f>+B29</f>
        <v>35</v>
      </c>
      <c r="C38" s="92">
        <f>+(C$26*$B38-$G$13-$G$17)+'Wheat Grain'!$G$37+'Wheat Grain'!$G$42</f>
        <v>-37.417965000000038</v>
      </c>
      <c r="D38" s="93">
        <f>+(D$26*$B38-$G$13-$G$17)+'Wheat Grain'!$G$37+'Wheat Grain'!$G$42</f>
        <v>-29.367965000000055</v>
      </c>
      <c r="E38" s="93">
        <f>+(E$26*$B38-$G$13-$G$17)+'Wheat Grain'!$G$37+'Wheat Grain'!$G$42</f>
        <v>-21.317965000000015</v>
      </c>
      <c r="F38" s="93">
        <f>+(F$26*$B38-$G$13-$G$17)+'Wheat Grain'!$G$37+'Wheat Grain'!$G$42</f>
        <v>-13.267965000000004</v>
      </c>
      <c r="G38" s="94">
        <f>+(G$26*$B38-$G$13-$G$17)+'Wheat Grain'!$G$37+'Wheat Grain'!$G$42</f>
        <v>-5.2179650000000226</v>
      </c>
      <c r="I38" s="115">
        <f>+I29</f>
        <v>30</v>
      </c>
      <c r="J38" s="92">
        <f>+(J$26*$I38+$N$8-$N$13-$N$17)+'Wheat Dual  ~700Lb'!$G$37+'Wheat Dual  ~700Lb'!$G$42</f>
        <v>-19.825354000000033</v>
      </c>
      <c r="K38" s="93">
        <f>+(K$26*$I38+$N$8-$N$13-$N$17)+'Wheat Dual  ~700Lb'!$G$37+'Wheat Dual  ~700Lb'!$G$42</f>
        <v>-12.925354000000056</v>
      </c>
      <c r="L38" s="93">
        <f>+(L$26*$I38+$N$8-$N$13-$N$17)+'Wheat Dual  ~700Lb'!$G$37+'Wheat Dual  ~700Lb'!$G$42</f>
        <v>-6.0253540000000232</v>
      </c>
      <c r="M38" s="93">
        <f>+(M$26*$I38+$N$8-$N$13-$N$17)+'Wheat Dual  ~700Lb'!$G$37+'Wheat Dual  ~700Lb'!$G$42</f>
        <v>0.87464599999998249</v>
      </c>
      <c r="N38" s="94">
        <f>+(N$26*$I38+$N$8-$N$13-$N$17)+'Wheat Dual  ~700Lb'!$G$37+'Wheat Dual  ~700Lb'!$G$42</f>
        <v>7.7746459999999598</v>
      </c>
      <c r="P38" s="115">
        <f>+P29</f>
        <v>30</v>
      </c>
      <c r="Q38" s="92">
        <f>+(Q$26*$P38*$U$6+$U$8-$U$13-$U$17)+'Wheat Dual ~800Lb'!$G$37+'Wheat Dual ~800Lb'!$G$42</f>
        <v>-13.580354</v>
      </c>
      <c r="R38" s="93">
        <f>+(R$26*$P38*$U$6+$U$8-$U$13-$U$17)+'Wheat Dual ~800Lb'!$G$37+'Wheat Dual ~800Lb'!$G$42</f>
        <v>-9.2678540000000016</v>
      </c>
      <c r="S38" s="93">
        <f>+(S$26*$P38*$U$6+$U$8-$U$13-$U$17)+'Wheat Dual ~800Lb'!$G$37+'Wheat Dual ~800Lb'!$G$42</f>
        <v>-4.9553540000000016</v>
      </c>
      <c r="T38" s="93">
        <f>+(T$26*$P38*$U$6+$U$8-$U$13-$U$17)+'Wheat Dual ~800Lb'!$G$37+'Wheat Dual ~800Lb'!$G$42</f>
        <v>-0.64285400000000159</v>
      </c>
      <c r="U38" s="94">
        <f>+(U$26*$P38*$U$6+$U$8-$U$13-$U$17)+'Wheat Dual ~800Lb'!$G$37+'Wheat Dual ~800Lb'!$G$42</f>
        <v>3.6696459999999984</v>
      </c>
      <c r="W38" s="115">
        <f>+W29</f>
        <v>230.51666666666668</v>
      </c>
      <c r="X38" s="92">
        <f>+(X$26*$W38)-$AB$13-$AB$17+'Wheat Graze Out'!$G$37+'Wheat Graze Out'!$G$42</f>
        <v>-18.42597916666665</v>
      </c>
      <c r="Y38" s="93">
        <f>+(Y$26*$W38)-$AB$13-$AB$17+'Wheat Graze Out'!$G$37+'Wheat Graze Out'!$G$42</f>
        <v>-5.7475624999999884</v>
      </c>
      <c r="Z38" s="93">
        <f>+(Z$26*$W38)-$AB$13-$AB$17+'Wheat Graze Out'!$G$37+'Wheat Graze Out'!$G$42</f>
        <v>6.9308541666666752</v>
      </c>
      <c r="AA38" s="93">
        <f>+(AA$26*$W38)-$AB$13-$AB$17+'Wheat Graze Out'!$G$37+'Wheat Graze Out'!$G$42</f>
        <v>13.270062500000035</v>
      </c>
      <c r="AB38" s="94">
        <f>+(AB$26*$W38)-$AB$13-$AB$17+'Wheat Graze Out'!$G$37+'Wheat Graze Out'!$G$42</f>
        <v>19.609270833333355</v>
      </c>
      <c r="AD38" s="115">
        <f>+AD29</f>
        <v>60</v>
      </c>
      <c r="AE38" s="92">
        <f>+(AE$26*$AD38*$AI$6+$AI$8-$AI$13-$AI$17)+'Irrigated Wheat'!$G$37+'Irrigated Wheat'!$G$42</f>
        <v>1.4837850000000117</v>
      </c>
      <c r="AF38" s="93">
        <f>+(AF$26*$AD38*$AI$6+$AI$8-$AI$13-$AI$17)+'Irrigated Wheat'!$G$37+'Irrigated Wheat'!$G$42</f>
        <v>15.283784999999966</v>
      </c>
      <c r="AG38" s="93">
        <f>+(AG$26*$AD38*$AI$6+$AI$8-$AI$13-$AI$17)+'Irrigated Wheat'!$G$37+'Irrigated Wheat'!$G$42</f>
        <v>29.083785000000034</v>
      </c>
      <c r="AH38" s="93">
        <f>+(AH$26*$AD38*$AI$6+$AI$8-$AI$13-$AI$17)+'Irrigated Wheat'!$G$37+'Irrigated Wheat'!$G$42</f>
        <v>42.883785000000046</v>
      </c>
      <c r="AI38" s="94">
        <f>+(AI$26*$AD38*$AI$6+$AI$8-$AI$13-$AI$17)+'Irrigated Wheat'!$G$37+'Irrigated Wheat'!$G$42</f>
        <v>56.683785</v>
      </c>
    </row>
    <row r="39" spans="2:35" x14ac:dyDescent="0.45">
      <c r="B39" s="91">
        <f>+B38*1.1</f>
        <v>38.5</v>
      </c>
      <c r="C39" s="92">
        <f>+(C$26*$B39-$G$13-$G$17)+'Wheat Grain'!$G$37+'Wheat Grain'!$G$42</f>
        <v>-22.927965000000029</v>
      </c>
      <c r="D39" s="93">
        <f>+(D$26*$B39-$G$13-$G$17)+'Wheat Grain'!$G$37+'Wheat Grain'!$G$42</f>
        <v>-14.072965000000039</v>
      </c>
      <c r="E39" s="93">
        <f>+(E$26*$B39-$G$13-$G$17)+'Wheat Grain'!$G$37+'Wheat Grain'!$G$42</f>
        <v>-5.2179650000000226</v>
      </c>
      <c r="F39" s="93">
        <f>+(F$26*$B39-$G$13-$G$17)+'Wheat Grain'!$G$37+'Wheat Grain'!$G$42</f>
        <v>3.6370349999999956</v>
      </c>
      <c r="G39" s="94">
        <f>+(G$26*$B39-$G$13-$G$17)+'Wheat Grain'!$G$37+'Wheat Grain'!$G$42</f>
        <v>12.492034999999957</v>
      </c>
      <c r="I39" s="91">
        <f>+I38*1.1</f>
        <v>33</v>
      </c>
      <c r="J39" s="92">
        <f>+(J$26*$I39+$N$8-$N$13-$N$17)+'Wheat Dual  ~700Lb'!$G$37+'Wheat Dual  ~700Lb'!$G$42</f>
        <v>-7.4053540000000471</v>
      </c>
      <c r="K39" s="93">
        <f>+(K$26*$I39+$N$8-$N$13-$N$17)+'Wheat Dual  ~700Lb'!$G$37+'Wheat Dual  ~700Lb'!$G$42</f>
        <v>0.18464599999995635</v>
      </c>
      <c r="L39" s="93">
        <f>+(L$26*$I39+$N$8-$N$13-$N$17)+'Wheat Dual  ~700Lb'!$G$37+'Wheat Dual  ~700Lb'!$G$42</f>
        <v>7.7746459999999598</v>
      </c>
      <c r="M39" s="93">
        <f>+(M$26*$I39+$N$8-$N$13-$N$17)+'Wheat Dual  ~700Lb'!$G$37+'Wheat Dual  ~700Lb'!$G$42</f>
        <v>15.364645999999992</v>
      </c>
      <c r="N39" s="94">
        <f>+(N$26*$I39+$N$8-$N$13-$N$17)+'Wheat Dual  ~700Lb'!$G$37+'Wheat Dual  ~700Lb'!$G$42</f>
        <v>22.954645999999968</v>
      </c>
      <c r="P39" s="91">
        <f>+P38*1.1</f>
        <v>33</v>
      </c>
      <c r="Q39" s="92">
        <f>+(Q$26*$P39*$U$6+$U$8-$U$13-$U$17)+'Wheat Dual ~800Lb'!$G$37+'Wheat Dual ~800Lb'!$G$42</f>
        <v>-5.817854000000013</v>
      </c>
      <c r="R39" s="93">
        <f>+(R$26*$P39*$U$6+$U$8-$U$13-$U$17)+'Wheat Dual ~800Lb'!$G$37+'Wheat Dual ~800Lb'!$G$42</f>
        <v>-1.0741039999999789</v>
      </c>
      <c r="S39" s="93">
        <f>+(S$26*$P39*$U$6+$U$8-$U$13-$U$17)+'Wheat Dual ~800Lb'!$G$37+'Wheat Dual ~800Lb'!$G$42</f>
        <v>3.6696459999999984</v>
      </c>
      <c r="T39" s="93">
        <f>+(T$26*$P39*$U$6+$U$8-$U$13-$U$17)+'Wheat Dual ~800Lb'!$G$37+'Wheat Dual ~800Lb'!$G$42</f>
        <v>8.4133960000000325</v>
      </c>
      <c r="U39" s="94">
        <f>+(U$26*$P39*$U$6+$U$8-$U$13-$U$17)+'Wheat Dual ~800Lb'!$G$37+'Wheat Dual ~800Lb'!$G$42</f>
        <v>13.15714600000001</v>
      </c>
      <c r="W39" s="91">
        <f>+W38*1.05</f>
        <v>242.04250000000002</v>
      </c>
      <c r="X39" s="92">
        <f>+(X$26*$W39)-$AB$13-$AB$17+'Wheat Graze Out'!$G$37+'Wheat Graze Out'!$G$42</f>
        <v>-13.354612499999975</v>
      </c>
      <c r="Y39" s="93">
        <f>+(Y$26*$W39)-$AB$13-$AB$17+'Wheat Graze Out'!$G$37+'Wheat Graze Out'!$G$42</f>
        <v>-4.227499999997697E-2</v>
      </c>
      <c r="Z39" s="93">
        <f>+(Z$26*$W39)-$AB$13-$AB$17+'Wheat Graze Out'!$G$37+'Wheat Graze Out'!$G$42</f>
        <v>13.270062500000007</v>
      </c>
      <c r="AA39" s="93">
        <f>+(AA$26*$W39)-$AB$13-$AB$17+'Wheat Graze Out'!$G$37+'Wheat Graze Out'!$G$42</f>
        <v>19.926231250000043</v>
      </c>
      <c r="AB39" s="94">
        <f>+(AB$26*$W39)-$AB$13-$AB$17+'Wheat Graze Out'!$G$37+'Wheat Graze Out'!$G$42</f>
        <v>26.582400000000021</v>
      </c>
      <c r="AD39" s="91">
        <f>+AD38*1.1</f>
        <v>66</v>
      </c>
      <c r="AE39" s="92">
        <f>+(AE$26*$AD39*$AI$6+$AI$8-$AI$13-$AI$17)+'Irrigated Wheat'!$G$37+'Irrigated Wheat'!$G$42</f>
        <v>26.323784999999987</v>
      </c>
      <c r="AF39" s="93">
        <f>+(AF$26*$AD39*$AI$6+$AI$8-$AI$13-$AI$17)+'Irrigated Wheat'!$G$37+'Irrigated Wheat'!$G$42</f>
        <v>41.503784999999993</v>
      </c>
      <c r="AG39" s="93">
        <f>+(AG$26*$AD39*$AI$6+$AI$8-$AI$13-$AI$17)+'Irrigated Wheat'!$G$37+'Irrigated Wheat'!$G$42</f>
        <v>56.683785</v>
      </c>
      <c r="AH39" s="93">
        <f>+(AH$26*$AD39*$AI$6+$AI$8-$AI$13-$AI$17)+'Irrigated Wheat'!$G$37+'Irrigated Wheat'!$G$42</f>
        <v>71.863785000000064</v>
      </c>
      <c r="AI39" s="94">
        <f>+(AI$26*$AD39*$AI$6+$AI$8-$AI$13-$AI$17)+'Irrigated Wheat'!$G$37+'Irrigated Wheat'!$G$42</f>
        <v>87.043785000000014</v>
      </c>
    </row>
    <row r="40" spans="2:35" ht="14.65" thickBot="1" x14ac:dyDescent="0.5">
      <c r="B40" s="95">
        <f>+B38*1.2</f>
        <v>42</v>
      </c>
      <c r="C40" s="96">
        <f>+(C$26*$B40-$G$13-$G$17)+'Wheat Grain'!$G$37+'Wheat Grain'!$G$42</f>
        <v>-8.4379650000000215</v>
      </c>
      <c r="D40" s="97">
        <f>+(D$26*$B40-$G$13-$G$17)+'Wheat Grain'!$G$37+'Wheat Grain'!$G$42</f>
        <v>1.2220349999999467</v>
      </c>
      <c r="E40" s="97">
        <f>+(E$26*$B40-$G$13-$G$17)+'Wheat Grain'!$G$37+'Wheat Grain'!$G$42</f>
        <v>10.882034999999972</v>
      </c>
      <c r="F40" s="97">
        <f>+(F$26*$B40-$G$13-$G$17)+'Wheat Grain'!$G$37+'Wheat Grain'!$G$42</f>
        <v>20.542034999999998</v>
      </c>
      <c r="G40" s="98">
        <f>+(G$26*$B40-$G$13-$G$17)+'Wheat Grain'!$G$37+'Wheat Grain'!$G$42</f>
        <v>30.202034999999967</v>
      </c>
      <c r="I40" s="95">
        <f>+I38*1.2</f>
        <v>36</v>
      </c>
      <c r="J40" s="96">
        <f>+(J$26*$I40+$N$8-$N$13-$N$17)+'Wheat Dual  ~700Lb'!$G$37+'Wheat Dual  ~700Lb'!$G$42</f>
        <v>5.0146459999999689</v>
      </c>
      <c r="K40" s="97">
        <f>+(K$26*$I40+$N$8-$N$13-$N$17)+'Wheat Dual  ~700Lb'!$G$37+'Wheat Dual  ~700Lb'!$G$42</f>
        <v>13.294645999999942</v>
      </c>
      <c r="L40" s="97">
        <f>+(L$26*$I40+$N$8-$N$13-$N$17)+'Wheat Dual  ~700Lb'!$G$37+'Wheat Dual  ~700Lb'!$G$42</f>
        <v>21.574645999999973</v>
      </c>
      <c r="M40" s="97">
        <f>+(M$26*$I40+$N$8-$N$13-$N$17)+'Wheat Dual  ~700Lb'!$G$37+'Wheat Dual  ~700Lb'!$G$42</f>
        <v>29.854645999999974</v>
      </c>
      <c r="N40" s="98">
        <f>+(N$26*$I40+$N$8-$N$13-$N$17)+'Wheat Dual  ~700Lb'!$G$37+'Wheat Dual  ~700Lb'!$G$42</f>
        <v>38.134645999999975</v>
      </c>
      <c r="P40" s="95">
        <f>+P38*1.2</f>
        <v>36</v>
      </c>
      <c r="Q40" s="96">
        <f>+(Q$26*$P40*$U$6+$U$8-$U$13-$U$17)+'Wheat Dual ~800Lb'!$G$37+'Wheat Dual ~800Lb'!$G$42</f>
        <v>1.9446460000000041</v>
      </c>
      <c r="R40" s="97">
        <f>+(R$26*$P40*$U$6+$U$8-$U$13-$U$17)+'Wheat Dual ~800Lb'!$G$37+'Wheat Dual ~800Lb'!$G$42</f>
        <v>7.119645999999987</v>
      </c>
      <c r="S40" s="97">
        <f>+(S$26*$P40*$U$6+$U$8-$U$13-$U$17)+'Wheat Dual ~800Lb'!$G$37+'Wheat Dual ~800Lb'!$G$42</f>
        <v>12.294645999999998</v>
      </c>
      <c r="T40" s="97">
        <f>+(T$26*$P40*$U$6+$U$8-$U$13-$U$17)+'Wheat Dual ~800Lb'!$G$37+'Wheat Dual ~800Lb'!$G$42</f>
        <v>17.469646000000012</v>
      </c>
      <c r="U40" s="98">
        <f>+(U$26*$P40*$U$6+$U$8-$U$13-$U$17)+'Wheat Dual ~800Lb'!$G$37+'Wheat Dual ~800Lb'!$G$42</f>
        <v>22.644646000000023</v>
      </c>
      <c r="W40" s="95">
        <f>+W39*1.1</f>
        <v>266.24675000000002</v>
      </c>
      <c r="X40" s="96">
        <f>+(X$26*$W40)-$AB$13-$AB$17+'Wheat Graze Out'!$G$37+'Wheat Graze Out'!$G$42</f>
        <v>-2.7047424999999823</v>
      </c>
      <c r="Y40" s="97">
        <f>+(Y$26*$W40)-$AB$13-$AB$17+'Wheat Graze Out'!$G$37+'Wheat Graze Out'!$G$42</f>
        <v>11.938828750000011</v>
      </c>
      <c r="Z40" s="97">
        <f>+(Z$26*$W40)-$AB$13-$AB$17+'Wheat Graze Out'!$G$37+'Wheat Graze Out'!$G$42</f>
        <v>26.582400000000021</v>
      </c>
      <c r="AA40" s="97">
        <f>+(AA$26*$W40)-$AB$13-$AB$17+'Wheat Graze Out'!$G$37+'Wheat Graze Out'!$G$42</f>
        <v>33.904185625000039</v>
      </c>
      <c r="AB40" s="98">
        <f>+(AB$26*$W40)-$AB$13-$AB$17+'Wheat Graze Out'!$G$37+'Wheat Graze Out'!$G$42</f>
        <v>41.225971250000029</v>
      </c>
      <c r="AD40" s="95">
        <f>+AD38*1.2</f>
        <v>72</v>
      </c>
      <c r="AE40" s="96">
        <f>+(AE$26*$AD40*$AI$6+$AI$8-$AI$13-$AI$17)+'Irrigated Wheat'!$G$37+'Irrigated Wheat'!$G$42</f>
        <v>51.163785000000018</v>
      </c>
      <c r="AF40" s="97">
        <f>+(AF$26*$AD40*$AI$6+$AI$8-$AI$13-$AI$17)+'Irrigated Wheat'!$G$37+'Irrigated Wheat'!$G$42</f>
        <v>67.723784999999964</v>
      </c>
      <c r="AG40" s="97">
        <f>+(AG$26*$AD40*$AI$6+$AI$8-$AI$13-$AI$17)+'Irrigated Wheat'!$G$37+'Irrigated Wheat'!$G$42</f>
        <v>84.283785000000023</v>
      </c>
      <c r="AH40" s="97">
        <f>+(AH$26*$AD40*$AI$6+$AI$8-$AI$13-$AI$17)+'Irrigated Wheat'!$G$37+'Irrigated Wheat'!$G$42</f>
        <v>100.84378500000003</v>
      </c>
      <c r="AI40" s="98">
        <f>+(AI$26*$AD40*$AI$6+$AI$8-$AI$13-$AI$17)+'Irrigated Wheat'!$G$37+'Irrigated Wheat'!$G$42</f>
        <v>117.40378500000003</v>
      </c>
    </row>
    <row r="41" spans="2:35" ht="15" thickTop="1" thickBot="1" x14ac:dyDescent="0.5">
      <c r="B41" s="128"/>
      <c r="C41" s="127"/>
      <c r="D41" s="127"/>
      <c r="E41" s="127"/>
      <c r="F41" s="127"/>
      <c r="G41" s="127"/>
      <c r="I41" s="128"/>
      <c r="J41" s="127"/>
      <c r="K41" s="127"/>
      <c r="L41" s="127"/>
      <c r="M41" s="127"/>
      <c r="N41" s="127"/>
      <c r="P41" s="128"/>
      <c r="Q41" s="127"/>
      <c r="R41" s="127"/>
      <c r="S41" s="127"/>
      <c r="T41" s="127"/>
      <c r="U41" s="127"/>
      <c r="W41" s="128"/>
      <c r="X41" s="127"/>
      <c r="Y41" s="127"/>
      <c r="Z41" s="127"/>
      <c r="AA41" s="127"/>
      <c r="AB41" s="127"/>
      <c r="AD41" s="128"/>
      <c r="AE41" s="127"/>
      <c r="AF41" s="127"/>
      <c r="AG41" s="127"/>
      <c r="AH41" s="127"/>
      <c r="AI41" s="127"/>
    </row>
    <row r="42" spans="2:35" ht="15" thickTop="1" thickBot="1" x14ac:dyDescent="0.5">
      <c r="B42" s="140" t="s">
        <v>166</v>
      </c>
      <c r="C42" s="141"/>
      <c r="D42" s="141"/>
      <c r="E42" s="141"/>
      <c r="F42" s="141"/>
      <c r="G42" s="142"/>
      <c r="I42" s="140" t="s">
        <v>163</v>
      </c>
      <c r="J42" s="141"/>
      <c r="K42" s="141"/>
      <c r="L42" s="141"/>
      <c r="M42" s="141"/>
      <c r="N42" s="142"/>
      <c r="P42" s="140" t="s">
        <v>163</v>
      </c>
      <c r="Q42" s="141"/>
      <c r="R42" s="141"/>
      <c r="S42" s="141"/>
      <c r="T42" s="141"/>
      <c r="U42" s="142"/>
      <c r="W42" s="140" t="s">
        <v>163</v>
      </c>
      <c r="X42" s="141"/>
      <c r="Y42" s="141"/>
      <c r="Z42" s="141"/>
      <c r="AA42" s="141"/>
      <c r="AB42" s="142"/>
      <c r="AD42" s="140" t="s">
        <v>163</v>
      </c>
      <c r="AE42" s="141"/>
      <c r="AF42" s="141"/>
      <c r="AG42" s="141"/>
      <c r="AH42" s="141"/>
      <c r="AI42" s="142"/>
    </row>
    <row r="43" spans="2:35" ht="14.65" thickTop="1" x14ac:dyDescent="0.45">
      <c r="B43" s="85" t="s">
        <v>59</v>
      </c>
      <c r="C43" s="143" t="s">
        <v>161</v>
      </c>
      <c r="D43" s="144"/>
      <c r="E43" s="144" t="s">
        <v>61</v>
      </c>
      <c r="F43" s="144"/>
      <c r="G43" s="145"/>
      <c r="I43" s="85" t="s">
        <v>59</v>
      </c>
      <c r="J43" s="143" t="s">
        <v>161</v>
      </c>
      <c r="K43" s="144"/>
      <c r="L43" s="144" t="s">
        <v>61</v>
      </c>
      <c r="M43" s="144"/>
      <c r="N43" s="145"/>
      <c r="P43" s="85" t="s">
        <v>59</v>
      </c>
      <c r="Q43" s="143" t="s">
        <v>161</v>
      </c>
      <c r="R43" s="144"/>
      <c r="S43" s="144" t="s">
        <v>61</v>
      </c>
      <c r="T43" s="144"/>
      <c r="U43" s="145"/>
      <c r="W43" s="85" t="s">
        <v>138</v>
      </c>
      <c r="X43" s="143" t="s">
        <v>136</v>
      </c>
      <c r="Y43" s="144"/>
      <c r="Z43" s="144"/>
      <c r="AA43" s="144"/>
      <c r="AB43" s="145"/>
      <c r="AD43" s="85" t="s">
        <v>59</v>
      </c>
      <c r="AE43" s="143" t="s">
        <v>161</v>
      </c>
      <c r="AF43" s="144"/>
      <c r="AG43" s="144" t="s">
        <v>61</v>
      </c>
      <c r="AH43" s="144"/>
      <c r="AI43" s="145"/>
    </row>
    <row r="44" spans="2:35" ht="14.65" thickBot="1" x14ac:dyDescent="0.5">
      <c r="B44" s="86"/>
      <c r="C44" s="99">
        <f>+E44*0.9</f>
        <v>4.1399999999999997</v>
      </c>
      <c r="D44" s="100">
        <f>+E44*0.95</f>
        <v>4.3699999999999992</v>
      </c>
      <c r="E44" s="114">
        <f>+E35</f>
        <v>4.5999999999999996</v>
      </c>
      <c r="F44" s="100">
        <f>+E44*1.05</f>
        <v>4.83</v>
      </c>
      <c r="G44" s="101">
        <f>+E44*1.1</f>
        <v>5.0599999999999996</v>
      </c>
      <c r="I44" s="86"/>
      <c r="J44" s="99">
        <f>+L44*0.9</f>
        <v>4.1399999999999997</v>
      </c>
      <c r="K44" s="100">
        <f>+L44*0.95</f>
        <v>4.3699999999999992</v>
      </c>
      <c r="L44" s="114">
        <f>+L35</f>
        <v>4.5999999999999996</v>
      </c>
      <c r="M44" s="100">
        <f>+L44*1.05</f>
        <v>4.83</v>
      </c>
      <c r="N44" s="101">
        <f>+L44*1.1</f>
        <v>5.0599999999999996</v>
      </c>
      <c r="P44" s="86"/>
      <c r="Q44" s="99">
        <f>+S44*0.9</f>
        <v>4.1399999999999997</v>
      </c>
      <c r="R44" s="100">
        <f>+S44*0.95</f>
        <v>4.3699999999999992</v>
      </c>
      <c r="S44" s="114">
        <f>+S35</f>
        <v>4.5999999999999996</v>
      </c>
      <c r="T44" s="100">
        <f>+S44*1.05</f>
        <v>4.83</v>
      </c>
      <c r="U44" s="101">
        <f>+S44*1.1</f>
        <v>5.0599999999999996</v>
      </c>
      <c r="W44" s="86" t="s">
        <v>8</v>
      </c>
      <c r="X44" s="99">
        <f>+Z44*0.8</f>
        <v>0.44000000000000006</v>
      </c>
      <c r="Y44" s="100">
        <f>+Z44*0.9</f>
        <v>0.49500000000000005</v>
      </c>
      <c r="Z44" s="114">
        <f>+Z35</f>
        <v>0.55000000000000004</v>
      </c>
      <c r="AA44" s="100">
        <f>+Z44*1.05</f>
        <v>0.57750000000000012</v>
      </c>
      <c r="AB44" s="101">
        <f>+Z44*1.1</f>
        <v>0.60500000000000009</v>
      </c>
      <c r="AD44" s="86"/>
      <c r="AE44" s="99">
        <f>+AE35</f>
        <v>4.1399999999999997</v>
      </c>
      <c r="AF44" s="100">
        <f>+AG44*0.95</f>
        <v>4.3699999999999992</v>
      </c>
      <c r="AG44" s="114">
        <f>+AG35</f>
        <v>4.5999999999999996</v>
      </c>
      <c r="AH44" s="100">
        <f>+AG44*1.05</f>
        <v>4.83</v>
      </c>
      <c r="AI44" s="101">
        <f>+AG44*1.1</f>
        <v>5.0599999999999996</v>
      </c>
    </row>
    <row r="45" spans="2:35" ht="14.65" thickTop="1" x14ac:dyDescent="0.45">
      <c r="B45" s="87">
        <f>+B47*0.8</f>
        <v>28</v>
      </c>
      <c r="C45" s="88">
        <f>+(C$26*$B45-$G$13-$G$17)+'Wheat Grain'!$G$37+'Wheat Grain'!$G$42+$G$12-$G$51</f>
        <v>-47.697965000000039</v>
      </c>
      <c r="D45" s="89">
        <f>+(D$26*$B45-$G$13-$G$17)+'Wheat Grain'!$G$37+'Wheat Grain'!$G$42+$G$12-$G$51</f>
        <v>-41.257965000000041</v>
      </c>
      <c r="E45" s="89">
        <f>+(E$26*$B45-$G$13-$G$17)+'Wheat Grain'!$G$37+'Wheat Grain'!$G$42+$G$12-$G$51</f>
        <v>-34.817965000000044</v>
      </c>
      <c r="F45" s="89">
        <f>+(F$26*$B45-$G$13-$G$17)+'Wheat Grain'!$G$37+'Wheat Grain'!$G$42+$G$12-$G$51</f>
        <v>-28.377965000000007</v>
      </c>
      <c r="G45" s="90">
        <f>+(G$26*$B45-$G$13-$G$17)+'Wheat Grain'!$G$37+'Wheat Grain'!$G$42+$G$12-$G$51</f>
        <v>-21.937965000000037</v>
      </c>
      <c r="I45" s="87">
        <f>+I47*0.8</f>
        <v>24</v>
      </c>
      <c r="J45" s="88">
        <f>+(J$26*$I45+$N$8-$N$13-$N$17)+'Wheat Dual  ~700Lb'!$G$37+'Wheat Dual  ~700Lb'!$G$42+$N$12-$N$51</f>
        <v>-27.165354000000033</v>
      </c>
      <c r="K45" s="89">
        <f>+(K$26*$I45+$N$8-$N$13-$N$17)+'Wheat Dual  ~700Lb'!$G$37+'Wheat Dual  ~700Lb'!$G$42+$N$12-$N$51</f>
        <v>-21.645354000000022</v>
      </c>
      <c r="L45" s="89">
        <f>+(L$26*$I45+$N$8-$N$13-$N$17)+'Wheat Dual  ~700Lb'!$G$37+'Wheat Dual  ~700Lb'!$G$42+$N$12-$N$51</f>
        <v>-16.125354000000012</v>
      </c>
      <c r="M45" s="89">
        <f>+(M$26*$I45+$N$8-$N$13-$N$17)+'Wheat Dual  ~700Lb'!$G$37+'Wheat Dual  ~700Lb'!$G$42+$N$12-$N$51</f>
        <v>-10.605354000000002</v>
      </c>
      <c r="N45" s="90">
        <f>+(N$26*$I45+$N$8-$N$13-$N$17)+'Wheat Dual  ~700Lb'!$G$37+'Wheat Dual  ~700Lb'!$G$42+$N$12-$N$51</f>
        <v>-5.0853540000000201</v>
      </c>
      <c r="P45" s="87">
        <f>+P47*0.8</f>
        <v>24</v>
      </c>
      <c r="Q45" s="88">
        <f>+(Q$26*$P45*$U$6+$U$8-$U$13-$U$17)+'Wheat Dual ~800Lb'!$G$37+'Wheat Dual ~800Lb'!$G$42+$U$12-$U$51*$U$6</f>
        <v>-18.167853999999977</v>
      </c>
      <c r="R45" s="89">
        <f>+(R$26*$P45*$U$6+$U$8-$U$13-$U$17)+'Wheat Dual ~800Lb'!$G$37+'Wheat Dual ~800Lb'!$G$42+$U$12-$U$51*$U$6</f>
        <v>-14.717853999999988</v>
      </c>
      <c r="S45" s="89">
        <f>+(S$26*$P45*$U$6+$U$8-$U$13-$U$17)+'Wheat Dual ~800Lb'!$G$37+'Wheat Dual ~800Lb'!$G$42+$U$12-$U$51*$U$6</f>
        <v>-11.267854</v>
      </c>
      <c r="T45" s="89">
        <f>+(T$26*$P45*$U$6+$U$8-$U$13-$U$17)+'Wheat Dual ~800Lb'!$G$37+'Wheat Dual ~800Lb'!$G$42+$U$12-$U$51*$U$6</f>
        <v>-7.8178539999999828</v>
      </c>
      <c r="U45" s="90">
        <f>+(U$26*$P45*$U$6+$U$8-$U$13-$U$17)+'Wheat Dual ~800Lb'!$G$37+'Wheat Dual ~800Lb'!$G$42+$U$12-$U$51*$U$6</f>
        <v>-4.3678539999999657</v>
      </c>
      <c r="W45" s="87">
        <f>+W47*0.9</f>
        <v>207.465</v>
      </c>
      <c r="X45" s="88">
        <f>+(X$26*$W45)-$AB$13-$AB$17+'Wheat Graze Out'!$G$37+'Wheat Graze Out'!$G$42</f>
        <v>-28.56871249999999</v>
      </c>
      <c r="Y45" s="89">
        <f>+(Y$26*$W45)-$AB$13-$AB$17+'Wheat Graze Out'!$G$37+'Wheat Graze Out'!$G$42</f>
        <v>-17.158137499999995</v>
      </c>
      <c r="Z45" s="89">
        <f>+(Z$26*$W45)-$AB$13-$AB$17+'Wheat Graze Out'!$G$37+'Wheat Graze Out'!$G$42</f>
        <v>-5.7475624999999884</v>
      </c>
      <c r="AA45" s="89">
        <f>+(AA$26*$W45)-$AB$13-$AB$17+'Wheat Graze Out'!$G$37+'Wheat Graze Out'!$G$42</f>
        <v>-4.227499999997697E-2</v>
      </c>
      <c r="AB45" s="90">
        <f>+(AB$26*$W45)-$AB$13-$AB$17+'Wheat Graze Out'!$G$37+'Wheat Graze Out'!$G$42</f>
        <v>5.6630125000000202</v>
      </c>
      <c r="AD45" s="87">
        <f>+AD47*0.8</f>
        <v>48</v>
      </c>
      <c r="AE45" s="88">
        <f>+(AE$26*$AD45*$AI$6+$AI$8-$AI$13-$AI$17)+'Irrigated Wheat'!$G$37+'Irrigated Wheat'!$G$42+$AI$12-$AI$51</f>
        <v>-26.196215000000024</v>
      </c>
      <c r="AF45" s="89">
        <f>+(AF$26*$AD45*$AI$6+$AI$8-$AI$13-$AI$17)+'Irrigated Wheat'!$G$37+'Irrigated Wheat'!$G$42+$AI$12-$AI$51</f>
        <v>-15.156215000000032</v>
      </c>
      <c r="AG45" s="89">
        <f>+(AG$26*$AD45*$AI$6+$AI$8-$AI$13-$AI$17)+'Irrigated Wheat'!$G$37+'Irrigated Wheat'!$G$42+$AI$12-$AI$51</f>
        <v>-4.1162150000000111</v>
      </c>
      <c r="AH45" s="89">
        <f>+(AH$26*$AD45*$AI$6+$AI$8-$AI$13-$AI$17)+'Irrigated Wheat'!$G$37+'Irrigated Wheat'!$G$42+$AI$12-$AI$51</f>
        <v>6.9237850000000094</v>
      </c>
      <c r="AI45" s="90">
        <f>+(AI$26*$AD45*$AI$6+$AI$8-$AI$13-$AI$17)+'Irrigated Wheat'!$G$37+'Irrigated Wheat'!$G$42+$AI$12-$AI$51</f>
        <v>17.96378500000003</v>
      </c>
    </row>
    <row r="46" spans="2:35" x14ac:dyDescent="0.45">
      <c r="B46" s="91">
        <f>+B47*0.9</f>
        <v>31.5</v>
      </c>
      <c r="C46" s="92">
        <f>+(C$26*$B46-$G$13-$G$17)+'Wheat Grain'!$G$37+'Wheat Grain'!$G$42+$G$12-$G$51</f>
        <v>-33.20796500000003</v>
      </c>
      <c r="D46" s="93">
        <f>+(D$26*$B46-$G$13-$G$17)+'Wheat Grain'!$G$37+'Wheat Grain'!$G$42+$G$12-$G$51</f>
        <v>-25.962965000000043</v>
      </c>
      <c r="E46" s="93">
        <f>+(E$26*$B46-$G$13-$G$17)+'Wheat Grain'!$G$37+'Wheat Grain'!$G$42+$G$12-$G$51</f>
        <v>-18.717965000000039</v>
      </c>
      <c r="F46" s="93">
        <f>+(F$26*$B46-$G$13-$G$17)+'Wheat Grain'!$G$37+'Wheat Grain'!$G$42+$G$12-$G$51</f>
        <v>-11.472965000000006</v>
      </c>
      <c r="G46" s="94">
        <f>+(G$26*$B46-$G$13-$G$17)+'Wheat Grain'!$G$37+'Wheat Grain'!$G$42+$G$12-$G$51</f>
        <v>-4.2279650000000295</v>
      </c>
      <c r="I46" s="91">
        <f>+I47*0.9</f>
        <v>27</v>
      </c>
      <c r="J46" s="92">
        <f>+(J$26*$I46+$N$8-$N$13-$N$17)+'Wheat Dual  ~700Lb'!$G$37+'Wheat Dual  ~700Lb'!$G$42+$N$12-$N$51</f>
        <v>-14.745354000000017</v>
      </c>
      <c r="K46" s="93">
        <f>+(K$26*$I46+$N$8-$N$13-$N$17)+'Wheat Dual  ~700Lb'!$G$37+'Wheat Dual  ~700Lb'!$G$42+$N$12-$N$51</f>
        <v>-8.5353540000000372</v>
      </c>
      <c r="L46" s="93">
        <f>+(L$26*$I46+$N$8-$N$13-$N$17)+'Wheat Dual  ~700Lb'!$G$37+'Wheat Dual  ~700Lb'!$G$42+$N$12-$N$51</f>
        <v>-2.3253540000000292</v>
      </c>
      <c r="M46" s="93">
        <f>+(M$26*$I46+$N$8-$N$13-$N$17)+'Wheat Dual  ~700Lb'!$G$37+'Wheat Dual  ~700Lb'!$G$42+$N$12-$N$51</f>
        <v>3.8846459999999787</v>
      </c>
      <c r="N46" s="94">
        <f>+(N$26*$I46+$N$8-$N$13-$N$17)+'Wheat Dual  ~700Lb'!$G$37+'Wheat Dual  ~700Lb'!$G$42+$N$12-$N$51</f>
        <v>10.094645999999958</v>
      </c>
      <c r="P46" s="91">
        <f>+P47*0.9</f>
        <v>27</v>
      </c>
      <c r="Q46" s="92">
        <f>+(Q$26*$P46*$U$6+$U$8-$U$13-$U$17)+'Wheat Dual ~800Lb'!$G$37+'Wheat Dual ~800Lb'!$G$42+$U$12-$U$51*$U$6</f>
        <v>-10.405353999999988</v>
      </c>
      <c r="R46" s="93">
        <f>+(R$26*$P46*$U$6+$U$8-$U$13-$U$17)+'Wheat Dual ~800Lb'!$G$37+'Wheat Dual ~800Lb'!$G$42+$U$12-$U$51*$U$6</f>
        <v>-6.5241039999999941</v>
      </c>
      <c r="S46" s="93">
        <f>+(S$26*$P46*$U$6+$U$8-$U$13-$U$17)+'Wheat Dual ~800Lb'!$G$37+'Wheat Dual ~800Lb'!$G$42+$U$12-$U$51*$U$6</f>
        <v>-2.6428539999999998</v>
      </c>
      <c r="T46" s="93">
        <f>+(T$26*$P46*$U$6+$U$8-$U$13-$U$17)+'Wheat Dual ~800Lb'!$G$37+'Wheat Dual ~800Lb'!$G$42+$U$12-$U$51*$U$6</f>
        <v>1.2383960000000211</v>
      </c>
      <c r="U46" s="94">
        <f>+(U$26*$P46*$U$6+$U$8-$U$13-$U$17)+'Wheat Dual ~800Lb'!$G$37+'Wheat Dual ~800Lb'!$G$42+$U$12-$U$51*$U$6</f>
        <v>5.119645999999987</v>
      </c>
      <c r="W46" s="91">
        <f>+W47*0.95</f>
        <v>218.99083333333334</v>
      </c>
      <c r="X46" s="92">
        <f>+(X$26*$W46)-$AB$13-$AB$17+'Wheat Graze Out'!$G$37+'Wheat Graze Out'!$G$42</f>
        <v>-23.497345833333313</v>
      </c>
      <c r="Y46" s="93">
        <f>+(Y$26*$W46)-$AB$13-$AB$17+'Wheat Graze Out'!$G$37+'Wheat Graze Out'!$G$42</f>
        <v>-11.452849999999986</v>
      </c>
      <c r="Z46" s="93">
        <f>+(Z$26*$W46)-$AB$13-$AB$17+'Wheat Graze Out'!$G$37+'Wheat Graze Out'!$G$42</f>
        <v>0.59164583333334342</v>
      </c>
      <c r="AA46" s="93">
        <f>+(AA$26*$W46)-$AB$13-$AB$17+'Wheat Graze Out'!$G$37+'Wheat Graze Out'!$G$42</f>
        <v>6.6138937500000292</v>
      </c>
      <c r="AB46" s="94">
        <f>+(AB$26*$W46)-$AB$13-$AB$17+'Wheat Graze Out'!$G$37+'Wheat Graze Out'!$G$42</f>
        <v>12.636141666666687</v>
      </c>
      <c r="AD46" s="91">
        <f>+AD47*0.9</f>
        <v>54</v>
      </c>
      <c r="AE46" s="92">
        <f>+(AE$26*$AD46*$AI$6+$AI$8-$AI$13-$AI$17)+'Irrigated Wheat'!$G$37+'Irrigated Wheat'!$G$42+$AI$12-$AI$51</f>
        <v>-1.3562150000000202</v>
      </c>
      <c r="AF46" s="93">
        <f>+(AF$26*$AD46*$AI$6+$AI$8-$AI$13-$AI$17)+'Irrigated Wheat'!$G$37+'Irrigated Wheat'!$G$42+$AI$12-$AI$51</f>
        <v>11.063784999999996</v>
      </c>
      <c r="AG46" s="93">
        <f>+(AG$26*$AD46*$AI$6+$AI$8-$AI$13-$AI$17)+'Irrigated Wheat'!$G$37+'Irrigated Wheat'!$G$42+$AI$12-$AI$51</f>
        <v>23.483785000000012</v>
      </c>
      <c r="AH46" s="93">
        <f>+(AH$26*$AD46*$AI$6+$AI$8-$AI$13-$AI$17)+'Irrigated Wheat'!$G$37+'Irrigated Wheat'!$G$42+$AI$12-$AI$51</f>
        <v>35.903785000000028</v>
      </c>
      <c r="AI46" s="94">
        <f>+(AI$26*$AD46*$AI$6+$AI$8-$AI$13-$AI$17)+'Irrigated Wheat'!$G$37+'Irrigated Wheat'!$G$42+$AI$12-$AI$51</f>
        <v>48.323784999999994</v>
      </c>
    </row>
    <row r="47" spans="2:35" x14ac:dyDescent="0.45">
      <c r="B47" s="115">
        <f>+B38</f>
        <v>35</v>
      </c>
      <c r="C47" s="92">
        <f>+(C$26*$B47-$G$13-$G$17)+'Wheat Grain'!$G$37+'Wheat Grain'!$G$42+$G$12-$G$51</f>
        <v>-18.717965000000039</v>
      </c>
      <c r="D47" s="93">
        <f>+(D$26*$B47-$G$13-$G$17)+'Wheat Grain'!$G$37+'Wheat Grain'!$G$42+$G$12-$G$51</f>
        <v>-10.667965000000056</v>
      </c>
      <c r="E47" s="93">
        <f>+(E$26*$B47-$G$13-$G$17)+'Wheat Grain'!$G$37+'Wheat Grain'!$G$42+$G$12-$G$51</f>
        <v>-2.6179650000000159</v>
      </c>
      <c r="F47" s="93">
        <f>+(F$26*$B47-$G$13-$G$17)+'Wheat Grain'!$G$37+'Wheat Grain'!$G$42+$G$12-$G$51</f>
        <v>5.4320349999999955</v>
      </c>
      <c r="G47" s="94">
        <f>+(G$26*$B47-$G$13-$G$17)+'Wheat Grain'!$G$37+'Wheat Grain'!$G$42+$G$12-$G$51</f>
        <v>13.482034999999978</v>
      </c>
      <c r="I47" s="115">
        <f>+I38</f>
        <v>30</v>
      </c>
      <c r="J47" s="92">
        <f>+(J$26*$I47+$N$8-$N$13-$N$17)+'Wheat Dual  ~700Lb'!$G$37+'Wheat Dual  ~700Lb'!$G$42+$N$12-$N$51</f>
        <v>-2.3253540000000292</v>
      </c>
      <c r="K47" s="93">
        <f>+(K$26*$I47+$N$8-$N$13-$N$17)+'Wheat Dual  ~700Lb'!$G$37+'Wheat Dual  ~700Lb'!$G$42+$N$12-$N$51</f>
        <v>4.574645999999948</v>
      </c>
      <c r="L47" s="93">
        <f>+(L$26*$I47+$N$8-$N$13-$N$17)+'Wheat Dual  ~700Lb'!$G$37+'Wheat Dual  ~700Lb'!$G$42+$N$12-$N$51</f>
        <v>11.474645999999982</v>
      </c>
      <c r="M47" s="93">
        <f>+(M$26*$I47+$N$8-$N$13-$N$17)+'Wheat Dual  ~700Lb'!$G$37+'Wheat Dual  ~700Lb'!$G$42+$N$12-$N$51</f>
        <v>18.374645999999988</v>
      </c>
      <c r="N47" s="94">
        <f>+(N$26*$I47+$N$8-$N$13-$N$17)+'Wheat Dual  ~700Lb'!$G$37+'Wheat Dual  ~700Lb'!$G$42+$N$12-$N$51</f>
        <v>25.274645999999965</v>
      </c>
      <c r="P47" s="115">
        <f>+P38</f>
        <v>30</v>
      </c>
      <c r="Q47" s="92">
        <f>+(Q$26*$P47*$U$6+$U$8-$U$13-$U$17)+'Wheat Dual ~800Lb'!$G$37+'Wheat Dual ~800Lb'!$G$42+$U$12-$U$51*$U$6</f>
        <v>-2.6428539999999998</v>
      </c>
      <c r="R47" s="93">
        <f>+(R$26*$P47*$U$6+$U$8-$U$13-$U$17)+'Wheat Dual ~800Lb'!$G$37+'Wheat Dual ~800Lb'!$G$42+$U$12-$U$51*$U$6</f>
        <v>1.6696459999999984</v>
      </c>
      <c r="S47" s="93">
        <f>+(S$26*$P47*$U$6+$U$8-$U$13-$U$17)+'Wheat Dual ~800Lb'!$G$37+'Wheat Dual ~800Lb'!$G$42+$U$12-$U$51*$U$6</f>
        <v>5.9821460000000002</v>
      </c>
      <c r="T47" s="93">
        <f>+(T$26*$P47*$U$6+$U$8-$U$13-$U$17)+'Wheat Dual ~800Lb'!$G$37+'Wheat Dual ~800Lb'!$G$42+$U$12-$U$51*$U$6</f>
        <v>10.294646</v>
      </c>
      <c r="U47" s="94">
        <f>+(U$26*$P47*$U$6+$U$8-$U$13-$U$17)+'Wheat Dual ~800Lb'!$G$37+'Wheat Dual ~800Lb'!$G$42+$U$12-$U$51*$U$6</f>
        <v>14.607146</v>
      </c>
      <c r="W47" s="115">
        <f>+W38</f>
        <v>230.51666666666668</v>
      </c>
      <c r="X47" s="92">
        <f>+(X$26*$W47)-$AB$13-$AB$17+'Wheat Graze Out'!$G$37+'Wheat Graze Out'!$G$42</f>
        <v>-18.42597916666665</v>
      </c>
      <c r="Y47" s="93">
        <f>+(Y$26*$W47)-$AB$13-$AB$17+'Wheat Graze Out'!$G$37+'Wheat Graze Out'!$G$42</f>
        <v>-5.7475624999999884</v>
      </c>
      <c r="Z47" s="93">
        <f>+(Z$26*$W47)-$AB$13-$AB$17+'Wheat Graze Out'!$G$37+'Wheat Graze Out'!$G$42</f>
        <v>6.9308541666666752</v>
      </c>
      <c r="AA47" s="93">
        <f>+(AA$26*$W47)-$AB$13-$AB$17+'Wheat Graze Out'!$G$37+'Wheat Graze Out'!$G$42</f>
        <v>13.270062500000035</v>
      </c>
      <c r="AB47" s="94">
        <f>+(AB$26*$W47)-$AB$13-$AB$17+'Wheat Graze Out'!$G$37+'Wheat Graze Out'!$G$42</f>
        <v>19.609270833333355</v>
      </c>
      <c r="AD47" s="115">
        <f>+AD38</f>
        <v>60</v>
      </c>
      <c r="AE47" s="92">
        <f>+(AE$26*$AD47*$AI$6+$AI$8-$AI$13-$AI$17)+'Irrigated Wheat'!$G$37+'Irrigated Wheat'!$G$42+$AI$12-$AI$51</f>
        <v>23.483785000000012</v>
      </c>
      <c r="AF47" s="93">
        <f>+(AF$26*$AD47*$AI$6+$AI$8-$AI$13-$AI$17)+'Irrigated Wheat'!$G$37+'Irrigated Wheat'!$G$42+$AI$12-$AI$51</f>
        <v>37.283784999999966</v>
      </c>
      <c r="AG47" s="93">
        <f>+(AG$26*$AD47*$AI$6+$AI$8-$AI$13-$AI$17)+'Irrigated Wheat'!$G$37+'Irrigated Wheat'!$G$42+$AI$12-$AI$51</f>
        <v>51.083785000000042</v>
      </c>
      <c r="AH47" s="93">
        <f>+(AH$26*$AD47*$AI$6+$AI$8-$AI$13-$AI$17)+'Irrigated Wheat'!$G$37+'Irrigated Wheat'!$G$42+$AI$12-$AI$51</f>
        <v>64.883785000000046</v>
      </c>
      <c r="AI47" s="94">
        <f>+(AI$26*$AD47*$AI$6+$AI$8-$AI$13-$AI$17)+'Irrigated Wheat'!$G$37+'Irrigated Wheat'!$G$42+$AI$12-$AI$51</f>
        <v>78.683785</v>
      </c>
    </row>
    <row r="48" spans="2:35" x14ac:dyDescent="0.45">
      <c r="B48" s="91">
        <f>+B47*1.1</f>
        <v>38.5</v>
      </c>
      <c r="C48" s="92">
        <f>+(C$26*$B48-$G$13-$G$17)+'Wheat Grain'!$G$37+'Wheat Grain'!$G$42+$G$12-$G$51</f>
        <v>-4.2279650000000295</v>
      </c>
      <c r="D48" s="93">
        <f>+(D$26*$B48-$G$13-$G$17)+'Wheat Grain'!$G$37+'Wheat Grain'!$G$42+$G$12-$G$51</f>
        <v>4.6270349999999603</v>
      </c>
      <c r="E48" s="93">
        <f>+(E$26*$B48-$G$13-$G$17)+'Wheat Grain'!$G$37+'Wheat Grain'!$G$42+$G$12-$G$51</f>
        <v>13.482034999999978</v>
      </c>
      <c r="F48" s="93">
        <f>+(F$26*$B48-$G$13-$G$17)+'Wheat Grain'!$G$37+'Wheat Grain'!$G$42+$G$12-$G$51</f>
        <v>22.337034999999997</v>
      </c>
      <c r="G48" s="94">
        <f>+(G$26*$B48-$G$13-$G$17)+'Wheat Grain'!$G$37+'Wheat Grain'!$G$42+$G$12-$G$51</f>
        <v>31.192034999999958</v>
      </c>
      <c r="I48" s="91">
        <f>+I47*1.1</f>
        <v>33</v>
      </c>
      <c r="J48" s="92">
        <f>+(J$26*$I48+$N$8-$N$13-$N$17)+'Wheat Dual  ~700Lb'!$G$37+'Wheat Dual  ~700Lb'!$G$42+$N$12-$N$51</f>
        <v>10.094645999999958</v>
      </c>
      <c r="K48" s="93">
        <f>+(K$26*$I48+$N$8-$N$13-$N$17)+'Wheat Dual  ~700Lb'!$G$37+'Wheat Dual  ~700Lb'!$G$42+$N$12-$N$51</f>
        <v>17.684645999999962</v>
      </c>
      <c r="L48" s="93">
        <f>+(L$26*$I48+$N$8-$N$13-$N$17)+'Wheat Dual  ~700Lb'!$G$37+'Wheat Dual  ~700Lb'!$G$42+$N$12-$N$51</f>
        <v>25.274645999999965</v>
      </c>
      <c r="M48" s="93">
        <f>+(M$26*$I48+$N$8-$N$13-$N$17)+'Wheat Dual  ~700Lb'!$G$37+'Wheat Dual  ~700Lb'!$G$42+$N$12-$N$51</f>
        <v>32.864645999999993</v>
      </c>
      <c r="N48" s="94">
        <f>+(N$26*$I48+$N$8-$N$13-$N$17)+'Wheat Dual  ~700Lb'!$G$37+'Wheat Dual  ~700Lb'!$G$42+$N$12-$N$51</f>
        <v>40.454645999999968</v>
      </c>
      <c r="P48" s="91">
        <f>+P47*1.1</f>
        <v>33</v>
      </c>
      <c r="Q48" s="92">
        <f>+(Q$26*$P48*$U$6+$U$8-$U$13-$U$17)+'Wheat Dual ~800Lb'!$G$37+'Wheat Dual ~800Lb'!$G$42+$U$12-$U$51*$U$6</f>
        <v>5.119645999999987</v>
      </c>
      <c r="R48" s="93">
        <f>+(R$26*$P48*$U$6+$U$8-$U$13-$U$17)+'Wheat Dual ~800Lb'!$G$37+'Wheat Dual ~800Lb'!$G$42+$U$12-$U$51*$U$6</f>
        <v>9.8633960000000229</v>
      </c>
      <c r="S48" s="93">
        <f>+(S$26*$P48*$U$6+$U$8-$U$13-$U$17)+'Wheat Dual ~800Lb'!$G$37+'Wheat Dual ~800Lb'!$G$42+$U$12-$U$51*$U$6</f>
        <v>14.607146</v>
      </c>
      <c r="T48" s="93">
        <f>+(T$26*$P48*$U$6+$U$8-$U$13-$U$17)+'Wheat Dual ~800Lb'!$G$37+'Wheat Dual ~800Lb'!$G$42+$U$12-$U$51*$U$6</f>
        <v>19.350896000000034</v>
      </c>
      <c r="U48" s="94">
        <f>+(U$26*$P48*$U$6+$U$8-$U$13-$U$17)+'Wheat Dual ~800Lb'!$G$37+'Wheat Dual ~800Lb'!$G$42+$U$12-$U$51*$U$6</f>
        <v>24.094646000000012</v>
      </c>
      <c r="W48" s="91">
        <f>+W47*1.05</f>
        <v>242.04250000000002</v>
      </c>
      <c r="X48" s="92">
        <f>+(X$26*$W48)-$AB$13-$AB$17+'Wheat Graze Out'!$G$37+'Wheat Graze Out'!$G$42</f>
        <v>-13.354612499999975</v>
      </c>
      <c r="Y48" s="93">
        <f>+(Y$26*$W48)-$AB$13-$AB$17+'Wheat Graze Out'!$G$37+'Wheat Graze Out'!$G$42</f>
        <v>-4.227499999997697E-2</v>
      </c>
      <c r="Z48" s="93">
        <f>+(Z$26*$W48)-$AB$13-$AB$17+'Wheat Graze Out'!$G$37+'Wheat Graze Out'!$G$42</f>
        <v>13.270062500000007</v>
      </c>
      <c r="AA48" s="93">
        <f>+(AA$26*$W48)-$AB$13-$AB$17+'Wheat Graze Out'!$G$37+'Wheat Graze Out'!$G$42</f>
        <v>19.926231250000043</v>
      </c>
      <c r="AB48" s="94">
        <f>+(AB$26*$W48)-$AB$13-$AB$17+'Wheat Graze Out'!$G$37+'Wheat Graze Out'!$G$42</f>
        <v>26.582400000000021</v>
      </c>
      <c r="AD48" s="91">
        <f>+AD47*1.1</f>
        <v>66</v>
      </c>
      <c r="AE48" s="92">
        <f>+(AE$26*$AD48*$AI$6+$AI$8-$AI$13-$AI$17)+'Irrigated Wheat'!$G$37+'Irrigated Wheat'!$G$42+$AI$12-$AI$51</f>
        <v>48.323784999999994</v>
      </c>
      <c r="AF48" s="93">
        <f>+(AF$26*$AD48*$AI$6+$AI$8-$AI$13-$AI$17)+'Irrigated Wheat'!$G$37+'Irrigated Wheat'!$G$42+$AI$12-$AI$51</f>
        <v>63.503785000000001</v>
      </c>
      <c r="AG48" s="93">
        <f>+(AG$26*$AD48*$AI$6+$AI$8-$AI$13-$AI$17)+'Irrigated Wheat'!$G$37+'Irrigated Wheat'!$G$42+$AI$12-$AI$51</f>
        <v>78.683785</v>
      </c>
      <c r="AH48" s="93">
        <f>+(AH$26*$AD48*$AI$6+$AI$8-$AI$13-$AI$17)+'Irrigated Wheat'!$G$37+'Irrigated Wheat'!$G$42+$AI$12-$AI$51</f>
        <v>93.863785000000064</v>
      </c>
      <c r="AI48" s="94">
        <f>+(AI$26*$AD48*$AI$6+$AI$8-$AI$13-$AI$17)+'Irrigated Wheat'!$G$37+'Irrigated Wheat'!$G$42+$AI$12-$AI$51</f>
        <v>109.04378500000001</v>
      </c>
    </row>
    <row r="49" spans="2:35" ht="14.65" thickBot="1" x14ac:dyDescent="0.5">
      <c r="B49" s="95">
        <f>+B47*1.2</f>
        <v>42</v>
      </c>
      <c r="C49" s="96">
        <f>+(C$26*$B49-$G$13-$G$17)+'Wheat Grain'!$G$37+'Wheat Grain'!$G$42+$G$12-$G$51</f>
        <v>10.26203499999998</v>
      </c>
      <c r="D49" s="97">
        <f>+(D$26*$B49-$G$13-$G$17)+'Wheat Grain'!$G$37+'Wheat Grain'!$G$42+$G$12-$G$51</f>
        <v>19.922034999999948</v>
      </c>
      <c r="E49" s="97">
        <f>+(E$26*$B49-$G$13-$G$17)+'Wheat Grain'!$G$37+'Wheat Grain'!$G$42+$G$12-$G$51</f>
        <v>29.582034999999973</v>
      </c>
      <c r="F49" s="97">
        <f>+(F$26*$B49-$G$13-$G$17)+'Wheat Grain'!$G$37+'Wheat Grain'!$G$42+$G$12-$G$51</f>
        <v>39.242035000000001</v>
      </c>
      <c r="G49" s="98">
        <f>+(G$26*$B49-$G$13-$G$17)+'Wheat Grain'!$G$37+'Wheat Grain'!$G$42+$G$12-$G$51</f>
        <v>48.90203499999997</v>
      </c>
      <c r="I49" s="95">
        <f>+I47*1.2</f>
        <v>36</v>
      </c>
      <c r="J49" s="96">
        <f>+(J$26*$I49+$N$8-$N$13-$N$17)+'Wheat Dual  ~700Lb'!$G$37+'Wheat Dual  ~700Lb'!$G$42+$N$12-$N$51</f>
        <v>22.514645999999974</v>
      </c>
      <c r="K49" s="97">
        <f>+(K$26*$I49+$N$8-$N$13-$N$17)+'Wheat Dual  ~700Lb'!$G$37+'Wheat Dual  ~700Lb'!$G$42+$N$12-$N$51</f>
        <v>30.794645999999947</v>
      </c>
      <c r="L49" s="97">
        <f>+(L$26*$I49+$N$8-$N$13-$N$17)+'Wheat Dual  ~700Lb'!$G$37+'Wheat Dual  ~700Lb'!$G$42+$N$12-$N$51</f>
        <v>39.074645999999973</v>
      </c>
      <c r="M49" s="97">
        <f>+(M$26*$I49+$N$8-$N$13-$N$17)+'Wheat Dual  ~700Lb'!$G$37+'Wheat Dual  ~700Lb'!$G$42+$N$12-$N$51</f>
        <v>47.354645999999974</v>
      </c>
      <c r="N49" s="98">
        <f>+(N$26*$I49+$N$8-$N$13-$N$17)+'Wheat Dual  ~700Lb'!$G$37+'Wheat Dual  ~700Lb'!$G$42+$N$12-$N$51</f>
        <v>55.634645999999975</v>
      </c>
      <c r="P49" s="95">
        <f>+P47*1.2</f>
        <v>36</v>
      </c>
      <c r="Q49" s="96">
        <f>+(Q$26*$P49*$U$6+$U$8-$U$13-$U$17)+'Wheat Dual ~800Lb'!$G$37+'Wheat Dual ~800Lb'!$G$42+$U$12-$U$51*$U$6</f>
        <v>12.882146000000006</v>
      </c>
      <c r="R49" s="97">
        <f>+(R$26*$P49*$U$6+$U$8-$U$13-$U$17)+'Wheat Dual ~800Lb'!$G$37+'Wheat Dual ~800Lb'!$G$42+$U$12-$U$51*$U$6</f>
        <v>18.057145999999989</v>
      </c>
      <c r="S49" s="97">
        <f>+(S$26*$P49*$U$6+$U$8-$U$13-$U$17)+'Wheat Dual ~800Lb'!$G$37+'Wheat Dual ~800Lb'!$G$42+$U$12-$U$51*$U$6</f>
        <v>23.232146</v>
      </c>
      <c r="T49" s="97">
        <f>+(T$26*$P49*$U$6+$U$8-$U$13-$U$17)+'Wheat Dual ~800Lb'!$G$37+'Wheat Dual ~800Lb'!$G$42+$U$12-$U$51*$U$6</f>
        <v>28.407146000000012</v>
      </c>
      <c r="U49" s="98">
        <f>+(U$26*$P49*$U$6+$U$8-$U$13-$U$17)+'Wheat Dual ~800Lb'!$G$37+'Wheat Dual ~800Lb'!$G$42+$U$12-$U$51*$U$6</f>
        <v>33.582146000000023</v>
      </c>
      <c r="W49" s="95">
        <f>+W48*1.1</f>
        <v>266.24675000000002</v>
      </c>
      <c r="X49" s="96">
        <f>+(X$26*$W49)-$AB$13-$AB$17+'Wheat Graze Out'!$G$37+'Wheat Graze Out'!$G$42</f>
        <v>-2.7047424999999823</v>
      </c>
      <c r="Y49" s="97">
        <f>+(Y$26*$W49)-$AB$13-$AB$17+'Wheat Graze Out'!$G$37+'Wheat Graze Out'!$G$42</f>
        <v>11.938828750000011</v>
      </c>
      <c r="Z49" s="97">
        <f>+(Z$26*$W49)-$AB$13-$AB$17+'Wheat Graze Out'!$G$37+'Wheat Graze Out'!$G$42</f>
        <v>26.582400000000021</v>
      </c>
      <c r="AA49" s="97">
        <f>+(AA$26*$W49)-$AB$13-$AB$17+'Wheat Graze Out'!$G$37+'Wheat Graze Out'!$G$42</f>
        <v>33.904185625000039</v>
      </c>
      <c r="AB49" s="98">
        <f>+(AB$26*$W49)-$AB$13-$AB$17+'Wheat Graze Out'!$G$37+'Wheat Graze Out'!$G$42</f>
        <v>41.225971250000029</v>
      </c>
      <c r="AD49" s="95">
        <f>+AD47*1.2</f>
        <v>72</v>
      </c>
      <c r="AE49" s="96">
        <f>+(AE$26*$AD49*$AI$6+$AI$8-$AI$13-$AI$17)+'Irrigated Wheat'!$G$37+'Irrigated Wheat'!$G$42+$AI$12-$AI$51</f>
        <v>73.163785000000018</v>
      </c>
      <c r="AF49" s="97">
        <f>+(AF$26*$AD49*$AI$6+$AI$8-$AI$13-$AI$17)+'Irrigated Wheat'!$G$37+'Irrigated Wheat'!$G$42+$AI$12-$AI$51</f>
        <v>89.723784999999964</v>
      </c>
      <c r="AG49" s="97">
        <f>+(AG$26*$AD49*$AI$6+$AI$8-$AI$13-$AI$17)+'Irrigated Wheat'!$G$37+'Irrigated Wheat'!$G$42+$AI$12-$AI$51</f>
        <v>106.28378500000002</v>
      </c>
      <c r="AH49" s="97">
        <f>+(AH$26*$AD49*$AI$6+$AI$8-$AI$13-$AI$17)+'Irrigated Wheat'!$G$37+'Irrigated Wheat'!$G$42+$AI$12-$AI$51</f>
        <v>122.84378500000003</v>
      </c>
      <c r="AI49" s="98">
        <f>+(AI$26*$AD49*$AI$6+$AI$8-$AI$13-$AI$17)+'Irrigated Wheat'!$G$37+'Irrigated Wheat'!$G$42+$AI$12-$AI$51</f>
        <v>139.40378500000003</v>
      </c>
    </row>
    <row r="50" spans="2:35" ht="14.65" thickTop="1" x14ac:dyDescent="0.45"/>
    <row r="51" spans="2:35" x14ac:dyDescent="0.45">
      <c r="B51" s="1" t="s">
        <v>162</v>
      </c>
      <c r="G51" s="129">
        <v>16.2</v>
      </c>
      <c r="I51" s="1" t="s">
        <v>162</v>
      </c>
      <c r="N51" s="129">
        <v>16.2</v>
      </c>
      <c r="P51" s="1" t="s">
        <v>162</v>
      </c>
      <c r="U51" s="129">
        <v>16.2</v>
      </c>
      <c r="W51" s="1" t="s">
        <v>162</v>
      </c>
      <c r="AB51" s="129">
        <v>16.2</v>
      </c>
      <c r="AD51" s="1" t="s">
        <v>162</v>
      </c>
      <c r="AI51" s="129">
        <v>18.899999999999999</v>
      </c>
    </row>
  </sheetData>
  <mergeCells count="35">
    <mergeCell ref="B2:G2"/>
    <mergeCell ref="I2:N2"/>
    <mergeCell ref="P2:U2"/>
    <mergeCell ref="W2:AB2"/>
    <mergeCell ref="AD2:AI2"/>
    <mergeCell ref="B24:G24"/>
    <mergeCell ref="I24:N24"/>
    <mergeCell ref="P24:U24"/>
    <mergeCell ref="W24:AB24"/>
    <mergeCell ref="AD24:AI24"/>
    <mergeCell ref="C25:G25"/>
    <mergeCell ref="J25:N25"/>
    <mergeCell ref="Q25:U25"/>
    <mergeCell ref="X25:AB25"/>
    <mergeCell ref="AE25:AI25"/>
    <mergeCell ref="W33:AB33"/>
    <mergeCell ref="X34:AB34"/>
    <mergeCell ref="AD33:AI33"/>
    <mergeCell ref="AE34:AI34"/>
    <mergeCell ref="B42:G42"/>
    <mergeCell ref="W42:AB42"/>
    <mergeCell ref="B33:G33"/>
    <mergeCell ref="C34:G34"/>
    <mergeCell ref="I33:N33"/>
    <mergeCell ref="J34:N34"/>
    <mergeCell ref="P33:U33"/>
    <mergeCell ref="Q34:U34"/>
    <mergeCell ref="X43:AB43"/>
    <mergeCell ref="AD42:AI42"/>
    <mergeCell ref="AE43:AI43"/>
    <mergeCell ref="C43:G43"/>
    <mergeCell ref="I42:N42"/>
    <mergeCell ref="J43:N43"/>
    <mergeCell ref="P42:U42"/>
    <mergeCell ref="Q43:U43"/>
  </mergeCells>
  <conditionalFormatting sqref="C27:G31">
    <cfRule type="colorScale" priority="55">
      <colorScale>
        <cfvo type="min"/>
        <cfvo type="max"/>
        <color theme="0" tint="-4.9989318521683403E-2"/>
        <color theme="0" tint="-0.34998626667073579"/>
      </colorScale>
    </cfRule>
    <cfRule type="colorScale" priority="56">
      <colorScale>
        <cfvo type="min"/>
        <cfvo type="max"/>
        <color rgb="FFFCFCFF"/>
        <color rgb="FF63BE7B"/>
      </colorScale>
    </cfRule>
  </conditionalFormatting>
  <conditionalFormatting sqref="Q27:U31">
    <cfRule type="colorScale" priority="51">
      <colorScale>
        <cfvo type="min"/>
        <cfvo type="max"/>
        <color theme="0" tint="-4.9989318521683403E-2"/>
        <color theme="0" tint="-0.34998626667073579"/>
      </colorScale>
    </cfRule>
    <cfRule type="colorScale" priority="52">
      <colorScale>
        <cfvo type="min"/>
        <cfvo type="max"/>
        <color rgb="FFFCFCFF"/>
        <color rgb="FF63BE7B"/>
      </colorScale>
    </cfRule>
  </conditionalFormatting>
  <conditionalFormatting sqref="X27:AB31">
    <cfRule type="colorScale" priority="49">
      <colorScale>
        <cfvo type="min"/>
        <cfvo type="max"/>
        <color theme="0" tint="-4.9989318521683403E-2"/>
        <color theme="0" tint="-0.34998626667073579"/>
      </colorScale>
    </cfRule>
    <cfRule type="colorScale" priority="50">
      <colorScale>
        <cfvo type="min"/>
        <cfvo type="max"/>
        <color rgb="FFFCFCFF"/>
        <color rgb="FF63BE7B"/>
      </colorScale>
    </cfRule>
  </conditionalFormatting>
  <conditionalFormatting sqref="AE27:AI31">
    <cfRule type="colorScale" priority="47">
      <colorScale>
        <cfvo type="min"/>
        <cfvo type="max"/>
        <color theme="0" tint="-4.9989318521683403E-2"/>
        <color theme="0" tint="-0.34998626667073579"/>
      </colorScale>
    </cfRule>
    <cfRule type="colorScale" priority="48">
      <colorScale>
        <cfvo type="min"/>
        <cfvo type="max"/>
        <color rgb="FFFCFCFF"/>
        <color rgb="FF63BE7B"/>
      </colorScale>
    </cfRule>
  </conditionalFormatting>
  <conditionalFormatting sqref="C36:G41">
    <cfRule type="colorScale" priority="57">
      <colorScale>
        <cfvo type="min"/>
        <cfvo type="max"/>
        <color theme="0" tint="-4.9989318521683403E-2"/>
        <color theme="0" tint="-0.34998626667073579"/>
      </colorScale>
    </cfRule>
    <cfRule type="colorScale" priority="58">
      <colorScale>
        <cfvo type="min"/>
        <cfvo type="max"/>
        <color rgb="FFFCFCFF"/>
        <color rgb="FF63BE7B"/>
      </colorScale>
    </cfRule>
  </conditionalFormatting>
  <conditionalFormatting sqref="Q36:U41">
    <cfRule type="colorScale" priority="59">
      <colorScale>
        <cfvo type="min"/>
        <cfvo type="max"/>
        <color theme="0" tint="-4.9989318521683403E-2"/>
        <color theme="0" tint="-0.34998626667073579"/>
      </colorScale>
    </cfRule>
    <cfRule type="colorScale" priority="60">
      <colorScale>
        <cfvo type="min"/>
        <cfvo type="max"/>
        <color rgb="FFFCFCFF"/>
        <color rgb="FF63BE7B"/>
      </colorScale>
    </cfRule>
  </conditionalFormatting>
  <conditionalFormatting sqref="X36:AB41">
    <cfRule type="colorScale" priority="63">
      <colorScale>
        <cfvo type="min"/>
        <cfvo type="max"/>
        <color theme="0" tint="-4.9989318521683403E-2"/>
        <color theme="0" tint="-0.34998626667073579"/>
      </colorScale>
    </cfRule>
    <cfRule type="colorScale" priority="64">
      <colorScale>
        <cfvo type="min"/>
        <cfvo type="max"/>
        <color rgb="FFFCFCFF"/>
        <color rgb="FF63BE7B"/>
      </colorScale>
    </cfRule>
  </conditionalFormatting>
  <conditionalFormatting sqref="AE36:AI41">
    <cfRule type="colorScale" priority="65">
      <colorScale>
        <cfvo type="min"/>
        <cfvo type="max"/>
        <color theme="0" tint="-4.9989318521683403E-2"/>
        <color theme="0" tint="-0.34998626667073579"/>
      </colorScale>
    </cfRule>
    <cfRule type="colorScale" priority="66">
      <colorScale>
        <cfvo type="min"/>
        <cfvo type="max"/>
        <color rgb="FFFCFCFF"/>
        <color rgb="FF63BE7B"/>
      </colorScale>
    </cfRule>
  </conditionalFormatting>
  <conditionalFormatting sqref="C45:G49">
    <cfRule type="colorScale" priority="23">
      <colorScale>
        <cfvo type="min"/>
        <cfvo type="max"/>
        <color theme="0" tint="-4.9989318521683403E-2"/>
        <color theme="0" tint="-0.34998626667073579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Q45:U49">
    <cfRule type="colorScale" priority="11">
      <colorScale>
        <cfvo type="min"/>
        <cfvo type="max"/>
        <color theme="0" tint="-4.9989318521683403E-2"/>
        <color theme="0" tint="-0.34998626667073579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X45:AB49">
    <cfRule type="colorScale" priority="9">
      <colorScale>
        <cfvo type="min"/>
        <cfvo type="max"/>
        <color theme="0" tint="-4.9989318521683403E-2"/>
        <color theme="0" tint="-0.34998626667073579"/>
      </colorScale>
    </cfRule>
    <cfRule type="colorScale" priority="10">
      <colorScale>
        <cfvo type="min"/>
        <cfvo type="max"/>
        <color rgb="FFFCFCFF"/>
        <color rgb="FF63BE7B"/>
      </colorScale>
    </cfRule>
  </conditionalFormatting>
  <conditionalFormatting sqref="AE45:AI49">
    <cfRule type="colorScale" priority="7">
      <colorScale>
        <cfvo type="min"/>
        <cfvo type="max"/>
        <color theme="0" tint="-4.9989318521683403E-2"/>
        <color theme="0" tint="-0.34998626667073579"/>
      </colorScale>
    </cfRule>
    <cfRule type="colorScale" priority="8">
      <colorScale>
        <cfvo type="min"/>
        <cfvo type="max"/>
        <color rgb="FFFCFCFF"/>
        <color rgb="FF63BE7B"/>
      </colorScale>
    </cfRule>
  </conditionalFormatting>
  <conditionalFormatting sqref="J27:N31">
    <cfRule type="colorScale" priority="3">
      <colorScale>
        <cfvo type="min"/>
        <cfvo type="max"/>
        <color theme="0" tint="-4.9989318521683403E-2"/>
        <color theme="0" tint="-0.34998626667073579"/>
      </colorScale>
    </cfRule>
    <cfRule type="colorScale" priority="4">
      <colorScale>
        <cfvo type="min"/>
        <cfvo type="max"/>
        <color rgb="FFFCFCFF"/>
        <color rgb="FF63BE7B"/>
      </colorScale>
    </cfRule>
  </conditionalFormatting>
  <conditionalFormatting sqref="J36:N41">
    <cfRule type="colorScale" priority="5">
      <colorScale>
        <cfvo type="min"/>
        <cfvo type="max"/>
        <color theme="0" tint="-4.9989318521683403E-2"/>
        <color theme="0" tint="-0.34998626667073579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conditionalFormatting sqref="J45:N49">
    <cfRule type="colorScale" priority="1">
      <colorScale>
        <cfvo type="min"/>
        <cfvo type="max"/>
        <color theme="0" tint="-4.9989318521683403E-2"/>
        <color theme="0" tint="-0.34998626667073579"/>
      </colorScale>
    </cfRule>
    <cfRule type="colorScale" priority="2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7E729-7083-4695-BCCD-B4F750E0696B}">
  <dimension ref="A1:I53"/>
  <sheetViews>
    <sheetView topLeftCell="A28" workbookViewId="0">
      <selection activeCell="C55" sqref="C55"/>
    </sheetView>
  </sheetViews>
  <sheetFormatPr defaultRowHeight="14.25" x14ac:dyDescent="0.45"/>
  <cols>
    <col min="1" max="2" width="3" style="1" customWidth="1"/>
    <col min="3" max="3" width="27.1328125" style="1" customWidth="1"/>
    <col min="4" max="7" width="10.1328125" style="1" customWidth="1"/>
    <col min="8" max="255" width="9.06640625" style="1"/>
    <col min="256" max="257" width="3" style="1" customWidth="1"/>
    <col min="258" max="258" width="27.1328125" style="1" customWidth="1"/>
    <col min="259" max="263" width="10.1328125" style="1" customWidth="1"/>
    <col min="264" max="511" width="9.06640625" style="1"/>
    <col min="512" max="513" width="3" style="1" customWidth="1"/>
    <col min="514" max="514" width="27.1328125" style="1" customWidth="1"/>
    <col min="515" max="519" width="10.1328125" style="1" customWidth="1"/>
    <col min="520" max="767" width="9.06640625" style="1"/>
    <col min="768" max="769" width="3" style="1" customWidth="1"/>
    <col min="770" max="770" width="27.1328125" style="1" customWidth="1"/>
    <col min="771" max="775" width="10.1328125" style="1" customWidth="1"/>
    <col min="776" max="1023" width="9.06640625" style="1"/>
    <col min="1024" max="1025" width="3" style="1" customWidth="1"/>
    <col min="1026" max="1026" width="27.1328125" style="1" customWidth="1"/>
    <col min="1027" max="1031" width="10.1328125" style="1" customWidth="1"/>
    <col min="1032" max="1279" width="9.06640625" style="1"/>
    <col min="1280" max="1281" width="3" style="1" customWidth="1"/>
    <col min="1282" max="1282" width="27.1328125" style="1" customWidth="1"/>
    <col min="1283" max="1287" width="10.1328125" style="1" customWidth="1"/>
    <col min="1288" max="1535" width="9.06640625" style="1"/>
    <col min="1536" max="1537" width="3" style="1" customWidth="1"/>
    <col min="1538" max="1538" width="27.1328125" style="1" customWidth="1"/>
    <col min="1539" max="1543" width="10.1328125" style="1" customWidth="1"/>
    <col min="1544" max="1791" width="9.06640625" style="1"/>
    <col min="1792" max="1793" width="3" style="1" customWidth="1"/>
    <col min="1794" max="1794" width="27.1328125" style="1" customWidth="1"/>
    <col min="1795" max="1799" width="10.1328125" style="1" customWidth="1"/>
    <col min="1800" max="2047" width="9.06640625" style="1"/>
    <col min="2048" max="2049" width="3" style="1" customWidth="1"/>
    <col min="2050" max="2050" width="27.1328125" style="1" customWidth="1"/>
    <col min="2051" max="2055" width="10.1328125" style="1" customWidth="1"/>
    <col min="2056" max="2303" width="9.06640625" style="1"/>
    <col min="2304" max="2305" width="3" style="1" customWidth="1"/>
    <col min="2306" max="2306" width="27.1328125" style="1" customWidth="1"/>
    <col min="2307" max="2311" width="10.1328125" style="1" customWidth="1"/>
    <col min="2312" max="2559" width="9.06640625" style="1"/>
    <col min="2560" max="2561" width="3" style="1" customWidth="1"/>
    <col min="2562" max="2562" width="27.1328125" style="1" customWidth="1"/>
    <col min="2563" max="2567" width="10.1328125" style="1" customWidth="1"/>
    <col min="2568" max="2815" width="9.06640625" style="1"/>
    <col min="2816" max="2817" width="3" style="1" customWidth="1"/>
    <col min="2818" max="2818" width="27.1328125" style="1" customWidth="1"/>
    <col min="2819" max="2823" width="10.1328125" style="1" customWidth="1"/>
    <col min="2824" max="3071" width="9.06640625" style="1"/>
    <col min="3072" max="3073" width="3" style="1" customWidth="1"/>
    <col min="3074" max="3074" width="27.1328125" style="1" customWidth="1"/>
    <col min="3075" max="3079" width="10.1328125" style="1" customWidth="1"/>
    <col min="3080" max="3327" width="9.06640625" style="1"/>
    <col min="3328" max="3329" width="3" style="1" customWidth="1"/>
    <col min="3330" max="3330" width="27.1328125" style="1" customWidth="1"/>
    <col min="3331" max="3335" width="10.1328125" style="1" customWidth="1"/>
    <col min="3336" max="3583" width="9.06640625" style="1"/>
    <col min="3584" max="3585" width="3" style="1" customWidth="1"/>
    <col min="3586" max="3586" width="27.1328125" style="1" customWidth="1"/>
    <col min="3587" max="3591" width="10.1328125" style="1" customWidth="1"/>
    <col min="3592" max="3839" width="9.06640625" style="1"/>
    <col min="3840" max="3841" width="3" style="1" customWidth="1"/>
    <col min="3842" max="3842" width="27.1328125" style="1" customWidth="1"/>
    <col min="3843" max="3847" width="10.1328125" style="1" customWidth="1"/>
    <col min="3848" max="4095" width="9.06640625" style="1"/>
    <col min="4096" max="4097" width="3" style="1" customWidth="1"/>
    <col min="4098" max="4098" width="27.1328125" style="1" customWidth="1"/>
    <col min="4099" max="4103" width="10.1328125" style="1" customWidth="1"/>
    <col min="4104" max="4351" width="9.06640625" style="1"/>
    <col min="4352" max="4353" width="3" style="1" customWidth="1"/>
    <col min="4354" max="4354" width="27.1328125" style="1" customWidth="1"/>
    <col min="4355" max="4359" width="10.1328125" style="1" customWidth="1"/>
    <col min="4360" max="4607" width="9.06640625" style="1"/>
    <col min="4608" max="4609" width="3" style="1" customWidth="1"/>
    <col min="4610" max="4610" width="27.1328125" style="1" customWidth="1"/>
    <col min="4611" max="4615" width="10.1328125" style="1" customWidth="1"/>
    <col min="4616" max="4863" width="9.06640625" style="1"/>
    <col min="4864" max="4865" width="3" style="1" customWidth="1"/>
    <col min="4866" max="4866" width="27.1328125" style="1" customWidth="1"/>
    <col min="4867" max="4871" width="10.1328125" style="1" customWidth="1"/>
    <col min="4872" max="5119" width="9.06640625" style="1"/>
    <col min="5120" max="5121" width="3" style="1" customWidth="1"/>
    <col min="5122" max="5122" width="27.1328125" style="1" customWidth="1"/>
    <col min="5123" max="5127" width="10.1328125" style="1" customWidth="1"/>
    <col min="5128" max="5375" width="9.06640625" style="1"/>
    <col min="5376" max="5377" width="3" style="1" customWidth="1"/>
    <col min="5378" max="5378" width="27.1328125" style="1" customWidth="1"/>
    <col min="5379" max="5383" width="10.1328125" style="1" customWidth="1"/>
    <col min="5384" max="5631" width="9.06640625" style="1"/>
    <col min="5632" max="5633" width="3" style="1" customWidth="1"/>
    <col min="5634" max="5634" width="27.1328125" style="1" customWidth="1"/>
    <col min="5635" max="5639" width="10.1328125" style="1" customWidth="1"/>
    <col min="5640" max="5887" width="9.06640625" style="1"/>
    <col min="5888" max="5889" width="3" style="1" customWidth="1"/>
    <col min="5890" max="5890" width="27.1328125" style="1" customWidth="1"/>
    <col min="5891" max="5895" width="10.1328125" style="1" customWidth="1"/>
    <col min="5896" max="6143" width="9.06640625" style="1"/>
    <col min="6144" max="6145" width="3" style="1" customWidth="1"/>
    <col min="6146" max="6146" width="27.1328125" style="1" customWidth="1"/>
    <col min="6147" max="6151" width="10.1328125" style="1" customWidth="1"/>
    <col min="6152" max="6399" width="9.06640625" style="1"/>
    <col min="6400" max="6401" width="3" style="1" customWidth="1"/>
    <col min="6402" max="6402" width="27.1328125" style="1" customWidth="1"/>
    <col min="6403" max="6407" width="10.1328125" style="1" customWidth="1"/>
    <col min="6408" max="6655" width="9.06640625" style="1"/>
    <col min="6656" max="6657" width="3" style="1" customWidth="1"/>
    <col min="6658" max="6658" width="27.1328125" style="1" customWidth="1"/>
    <col min="6659" max="6663" width="10.1328125" style="1" customWidth="1"/>
    <col min="6664" max="6911" width="9.06640625" style="1"/>
    <col min="6912" max="6913" width="3" style="1" customWidth="1"/>
    <col min="6914" max="6914" width="27.1328125" style="1" customWidth="1"/>
    <col min="6915" max="6919" width="10.1328125" style="1" customWidth="1"/>
    <col min="6920" max="7167" width="9.06640625" style="1"/>
    <col min="7168" max="7169" width="3" style="1" customWidth="1"/>
    <col min="7170" max="7170" width="27.1328125" style="1" customWidth="1"/>
    <col min="7171" max="7175" width="10.1328125" style="1" customWidth="1"/>
    <col min="7176" max="7423" width="9.06640625" style="1"/>
    <col min="7424" max="7425" width="3" style="1" customWidth="1"/>
    <col min="7426" max="7426" width="27.1328125" style="1" customWidth="1"/>
    <col min="7427" max="7431" width="10.1328125" style="1" customWidth="1"/>
    <col min="7432" max="7679" width="9.06640625" style="1"/>
    <col min="7680" max="7681" width="3" style="1" customWidth="1"/>
    <col min="7682" max="7682" width="27.1328125" style="1" customWidth="1"/>
    <col min="7683" max="7687" width="10.1328125" style="1" customWidth="1"/>
    <col min="7688" max="7935" width="9.06640625" style="1"/>
    <col min="7936" max="7937" width="3" style="1" customWidth="1"/>
    <col min="7938" max="7938" width="27.1328125" style="1" customWidth="1"/>
    <col min="7939" max="7943" width="10.1328125" style="1" customWidth="1"/>
    <col min="7944" max="8191" width="9.06640625" style="1"/>
    <col min="8192" max="8193" width="3" style="1" customWidth="1"/>
    <col min="8194" max="8194" width="27.1328125" style="1" customWidth="1"/>
    <col min="8195" max="8199" width="10.1328125" style="1" customWidth="1"/>
    <col min="8200" max="8447" width="9.06640625" style="1"/>
    <col min="8448" max="8449" width="3" style="1" customWidth="1"/>
    <col min="8450" max="8450" width="27.1328125" style="1" customWidth="1"/>
    <col min="8451" max="8455" width="10.1328125" style="1" customWidth="1"/>
    <col min="8456" max="8703" width="9.06640625" style="1"/>
    <col min="8704" max="8705" width="3" style="1" customWidth="1"/>
    <col min="8706" max="8706" width="27.1328125" style="1" customWidth="1"/>
    <col min="8707" max="8711" width="10.1328125" style="1" customWidth="1"/>
    <col min="8712" max="8959" width="9.06640625" style="1"/>
    <col min="8960" max="8961" width="3" style="1" customWidth="1"/>
    <col min="8962" max="8962" width="27.1328125" style="1" customWidth="1"/>
    <col min="8963" max="8967" width="10.1328125" style="1" customWidth="1"/>
    <col min="8968" max="9215" width="9.06640625" style="1"/>
    <col min="9216" max="9217" width="3" style="1" customWidth="1"/>
    <col min="9218" max="9218" width="27.1328125" style="1" customWidth="1"/>
    <col min="9219" max="9223" width="10.1328125" style="1" customWidth="1"/>
    <col min="9224" max="9471" width="9.06640625" style="1"/>
    <col min="9472" max="9473" width="3" style="1" customWidth="1"/>
    <col min="9474" max="9474" width="27.1328125" style="1" customWidth="1"/>
    <col min="9475" max="9479" width="10.1328125" style="1" customWidth="1"/>
    <col min="9480" max="9727" width="9.06640625" style="1"/>
    <col min="9728" max="9729" width="3" style="1" customWidth="1"/>
    <col min="9730" max="9730" width="27.1328125" style="1" customWidth="1"/>
    <col min="9731" max="9735" width="10.1328125" style="1" customWidth="1"/>
    <col min="9736" max="9983" width="9.06640625" style="1"/>
    <col min="9984" max="9985" width="3" style="1" customWidth="1"/>
    <col min="9986" max="9986" width="27.1328125" style="1" customWidth="1"/>
    <col min="9987" max="9991" width="10.1328125" style="1" customWidth="1"/>
    <col min="9992" max="10239" width="9.06640625" style="1"/>
    <col min="10240" max="10241" width="3" style="1" customWidth="1"/>
    <col min="10242" max="10242" width="27.1328125" style="1" customWidth="1"/>
    <col min="10243" max="10247" width="10.1328125" style="1" customWidth="1"/>
    <col min="10248" max="10495" width="9.06640625" style="1"/>
    <col min="10496" max="10497" width="3" style="1" customWidth="1"/>
    <col min="10498" max="10498" width="27.1328125" style="1" customWidth="1"/>
    <col min="10499" max="10503" width="10.1328125" style="1" customWidth="1"/>
    <col min="10504" max="10751" width="9.06640625" style="1"/>
    <col min="10752" max="10753" width="3" style="1" customWidth="1"/>
    <col min="10754" max="10754" width="27.1328125" style="1" customWidth="1"/>
    <col min="10755" max="10759" width="10.1328125" style="1" customWidth="1"/>
    <col min="10760" max="11007" width="9.06640625" style="1"/>
    <col min="11008" max="11009" width="3" style="1" customWidth="1"/>
    <col min="11010" max="11010" width="27.1328125" style="1" customWidth="1"/>
    <col min="11011" max="11015" width="10.1328125" style="1" customWidth="1"/>
    <col min="11016" max="11263" width="9.06640625" style="1"/>
    <col min="11264" max="11265" width="3" style="1" customWidth="1"/>
    <col min="11266" max="11266" width="27.1328125" style="1" customWidth="1"/>
    <col min="11267" max="11271" width="10.1328125" style="1" customWidth="1"/>
    <col min="11272" max="11519" width="9.06640625" style="1"/>
    <col min="11520" max="11521" width="3" style="1" customWidth="1"/>
    <col min="11522" max="11522" width="27.1328125" style="1" customWidth="1"/>
    <col min="11523" max="11527" width="10.1328125" style="1" customWidth="1"/>
    <col min="11528" max="11775" width="9.06640625" style="1"/>
    <col min="11776" max="11777" width="3" style="1" customWidth="1"/>
    <col min="11778" max="11778" width="27.1328125" style="1" customWidth="1"/>
    <col min="11779" max="11783" width="10.1328125" style="1" customWidth="1"/>
    <col min="11784" max="12031" width="9.06640625" style="1"/>
    <col min="12032" max="12033" width="3" style="1" customWidth="1"/>
    <col min="12034" max="12034" width="27.1328125" style="1" customWidth="1"/>
    <col min="12035" max="12039" width="10.1328125" style="1" customWidth="1"/>
    <col min="12040" max="12287" width="9.06640625" style="1"/>
    <col min="12288" max="12289" width="3" style="1" customWidth="1"/>
    <col min="12290" max="12290" width="27.1328125" style="1" customWidth="1"/>
    <col min="12291" max="12295" width="10.1328125" style="1" customWidth="1"/>
    <col min="12296" max="12543" width="9.06640625" style="1"/>
    <col min="12544" max="12545" width="3" style="1" customWidth="1"/>
    <col min="12546" max="12546" width="27.1328125" style="1" customWidth="1"/>
    <col min="12547" max="12551" width="10.1328125" style="1" customWidth="1"/>
    <col min="12552" max="12799" width="9.06640625" style="1"/>
    <col min="12800" max="12801" width="3" style="1" customWidth="1"/>
    <col min="12802" max="12802" width="27.1328125" style="1" customWidth="1"/>
    <col min="12803" max="12807" width="10.1328125" style="1" customWidth="1"/>
    <col min="12808" max="13055" width="9.06640625" style="1"/>
    <col min="13056" max="13057" width="3" style="1" customWidth="1"/>
    <col min="13058" max="13058" width="27.1328125" style="1" customWidth="1"/>
    <col min="13059" max="13063" width="10.1328125" style="1" customWidth="1"/>
    <col min="13064" max="13311" width="9.06640625" style="1"/>
    <col min="13312" max="13313" width="3" style="1" customWidth="1"/>
    <col min="13314" max="13314" width="27.1328125" style="1" customWidth="1"/>
    <col min="13315" max="13319" width="10.1328125" style="1" customWidth="1"/>
    <col min="13320" max="13567" width="9.06640625" style="1"/>
    <col min="13568" max="13569" width="3" style="1" customWidth="1"/>
    <col min="13570" max="13570" width="27.1328125" style="1" customWidth="1"/>
    <col min="13571" max="13575" width="10.1328125" style="1" customWidth="1"/>
    <col min="13576" max="13823" width="9.06640625" style="1"/>
    <col min="13824" max="13825" width="3" style="1" customWidth="1"/>
    <col min="13826" max="13826" width="27.1328125" style="1" customWidth="1"/>
    <col min="13827" max="13831" width="10.1328125" style="1" customWidth="1"/>
    <col min="13832" max="14079" width="9.06640625" style="1"/>
    <col min="14080" max="14081" width="3" style="1" customWidth="1"/>
    <col min="14082" max="14082" width="27.1328125" style="1" customWidth="1"/>
    <col min="14083" max="14087" width="10.1328125" style="1" customWidth="1"/>
    <col min="14088" max="14335" width="9.06640625" style="1"/>
    <col min="14336" max="14337" width="3" style="1" customWidth="1"/>
    <col min="14338" max="14338" width="27.1328125" style="1" customWidth="1"/>
    <col min="14339" max="14343" width="10.1328125" style="1" customWidth="1"/>
    <col min="14344" max="14591" width="9.06640625" style="1"/>
    <col min="14592" max="14593" width="3" style="1" customWidth="1"/>
    <col min="14594" max="14594" width="27.1328125" style="1" customWidth="1"/>
    <col min="14595" max="14599" width="10.1328125" style="1" customWidth="1"/>
    <col min="14600" max="14847" width="9.06640625" style="1"/>
    <col min="14848" max="14849" width="3" style="1" customWidth="1"/>
    <col min="14850" max="14850" width="27.1328125" style="1" customWidth="1"/>
    <col min="14851" max="14855" width="10.1328125" style="1" customWidth="1"/>
    <col min="14856" max="15103" width="9.06640625" style="1"/>
    <col min="15104" max="15105" width="3" style="1" customWidth="1"/>
    <col min="15106" max="15106" width="27.1328125" style="1" customWidth="1"/>
    <col min="15107" max="15111" width="10.1328125" style="1" customWidth="1"/>
    <col min="15112" max="15359" width="9.06640625" style="1"/>
    <col min="15360" max="15361" width="3" style="1" customWidth="1"/>
    <col min="15362" max="15362" width="27.1328125" style="1" customWidth="1"/>
    <col min="15363" max="15367" width="10.1328125" style="1" customWidth="1"/>
    <col min="15368" max="15615" width="9.06640625" style="1"/>
    <col min="15616" max="15617" width="3" style="1" customWidth="1"/>
    <col min="15618" max="15618" width="27.1328125" style="1" customWidth="1"/>
    <col min="15619" max="15623" width="10.1328125" style="1" customWidth="1"/>
    <col min="15624" max="15871" width="9.06640625" style="1"/>
    <col min="15872" max="15873" width="3" style="1" customWidth="1"/>
    <col min="15874" max="15874" width="27.1328125" style="1" customWidth="1"/>
    <col min="15875" max="15879" width="10.1328125" style="1" customWidth="1"/>
    <col min="15880" max="16127" width="9.06640625" style="1"/>
    <col min="16128" max="16129" width="3" style="1" customWidth="1"/>
    <col min="16130" max="16130" width="27.1328125" style="1" customWidth="1"/>
    <col min="16131" max="16135" width="10.1328125" style="1" customWidth="1"/>
    <col min="16136" max="16384" width="9.06640625" style="1"/>
  </cols>
  <sheetData>
    <row r="1" spans="1:7" x14ac:dyDescent="0.45">
      <c r="A1" s="25"/>
      <c r="B1" s="26" t="s">
        <v>150</v>
      </c>
      <c r="C1" s="25"/>
      <c r="D1" s="27"/>
      <c r="E1" s="27"/>
      <c r="F1" s="27"/>
      <c r="G1" s="27">
        <f>+[1]Assumptions!C8</f>
        <v>0</v>
      </c>
    </row>
    <row r="2" spans="1:7" x14ac:dyDescent="0.45">
      <c r="A2" s="28" t="s">
        <v>0</v>
      </c>
      <c r="B2" s="28"/>
      <c r="C2" s="28"/>
      <c r="D2" s="29" t="s">
        <v>1</v>
      </c>
      <c r="E2" s="29" t="s">
        <v>2</v>
      </c>
      <c r="F2" s="29" t="s">
        <v>3</v>
      </c>
      <c r="G2" s="29" t="s">
        <v>4</v>
      </c>
    </row>
    <row r="3" spans="1:7" x14ac:dyDescent="0.45">
      <c r="A3" s="25"/>
      <c r="B3" s="25" t="s">
        <v>5</v>
      </c>
      <c r="C3" s="25"/>
      <c r="D3" s="30">
        <f>+Assumptions!F4</f>
        <v>35</v>
      </c>
      <c r="E3" s="31" t="s">
        <v>6</v>
      </c>
      <c r="F3" s="58">
        <f>+Assumptions!F11</f>
        <v>4.5999999999999996</v>
      </c>
      <c r="G3" s="33">
        <f>D3*F3</f>
        <v>161</v>
      </c>
    </row>
    <row r="4" spans="1:7" x14ac:dyDescent="0.45">
      <c r="A4" s="25"/>
      <c r="B4" s="34" t="s">
        <v>7</v>
      </c>
      <c r="C4" s="35"/>
      <c r="D4" s="34">
        <v>0</v>
      </c>
      <c r="E4" s="31" t="s">
        <v>8</v>
      </c>
      <c r="F4" s="32">
        <v>0</v>
      </c>
      <c r="G4" s="33">
        <f>D4*F4</f>
        <v>0</v>
      </c>
    </row>
    <row r="5" spans="1:7" x14ac:dyDescent="0.45">
      <c r="A5" s="25"/>
      <c r="B5" s="34" t="s">
        <v>7</v>
      </c>
      <c r="C5" s="35"/>
      <c r="D5" s="34">
        <v>1</v>
      </c>
      <c r="E5" s="31" t="s">
        <v>8</v>
      </c>
      <c r="F5" s="32">
        <v>0</v>
      </c>
      <c r="G5" s="33">
        <f>D5*F5</f>
        <v>0</v>
      </c>
    </row>
    <row r="6" spans="1:7" ht="14.65" thickBot="1" x14ac:dyDescent="0.5">
      <c r="A6" s="25"/>
      <c r="B6" s="34" t="s">
        <v>7</v>
      </c>
      <c r="C6" s="35"/>
      <c r="D6" s="34">
        <v>1</v>
      </c>
      <c r="E6" s="31" t="s">
        <v>8</v>
      </c>
      <c r="F6" s="32">
        <v>0</v>
      </c>
      <c r="G6" s="36">
        <f>D6*F6</f>
        <v>0</v>
      </c>
    </row>
    <row r="7" spans="1:7" ht="14.65" thickTop="1" x14ac:dyDescent="0.45">
      <c r="A7" s="25" t="s">
        <v>9</v>
      </c>
      <c r="B7" s="25"/>
      <c r="C7" s="25"/>
      <c r="D7" s="25"/>
      <c r="E7" s="25"/>
      <c r="F7" s="25"/>
      <c r="G7" s="33">
        <f>SUM(G3:G6)</f>
        <v>161</v>
      </c>
    </row>
    <row r="8" spans="1:7" x14ac:dyDescent="0.45">
      <c r="A8" s="28" t="s">
        <v>10</v>
      </c>
      <c r="B8" s="28"/>
      <c r="C8" s="28"/>
      <c r="D8" s="28" t="s">
        <v>1</v>
      </c>
      <c r="E8" s="28" t="s">
        <v>2</v>
      </c>
      <c r="F8" s="28" t="s">
        <v>3</v>
      </c>
      <c r="G8" s="28" t="s">
        <v>4</v>
      </c>
    </row>
    <row r="9" spans="1:7" x14ac:dyDescent="0.45">
      <c r="A9" s="25" t="s">
        <v>11</v>
      </c>
      <c r="B9" s="25"/>
      <c r="C9" s="25"/>
      <c r="D9" s="25"/>
      <c r="E9" s="25"/>
      <c r="F9" s="25"/>
      <c r="G9" s="25"/>
    </row>
    <row r="10" spans="1:7" x14ac:dyDescent="0.45">
      <c r="A10" s="25"/>
      <c r="B10" s="25" t="s">
        <v>12</v>
      </c>
      <c r="C10" s="25"/>
      <c r="D10" s="25">
        <v>1</v>
      </c>
      <c r="E10" s="27" t="s">
        <v>8</v>
      </c>
      <c r="F10" s="39">
        <v>15</v>
      </c>
      <c r="G10" s="33">
        <f>D10*F10</f>
        <v>15</v>
      </c>
    </row>
    <row r="11" spans="1:7" x14ac:dyDescent="0.45">
      <c r="A11" s="25"/>
      <c r="B11" s="25" t="s">
        <v>13</v>
      </c>
      <c r="C11" s="25"/>
      <c r="D11" s="25">
        <v>1</v>
      </c>
      <c r="E11" s="27" t="s">
        <v>8</v>
      </c>
      <c r="F11" s="39">
        <f>+'[1]Wheat Dual A EGP'!F11*0.9</f>
        <v>45.45</v>
      </c>
      <c r="G11" s="33">
        <f t="shared" ref="G11:G20" si="0">D11*F11</f>
        <v>45.45</v>
      </c>
    </row>
    <row r="12" spans="1:7" x14ac:dyDescent="0.45">
      <c r="A12" s="25"/>
      <c r="B12" s="25" t="s">
        <v>14</v>
      </c>
      <c r="C12" s="25"/>
      <c r="D12" s="25">
        <v>1</v>
      </c>
      <c r="E12" s="27" t="s">
        <v>8</v>
      </c>
      <c r="F12" s="39">
        <v>16</v>
      </c>
      <c r="G12" s="33">
        <f t="shared" si="0"/>
        <v>16</v>
      </c>
    </row>
    <row r="13" spans="1:7" x14ac:dyDescent="0.45">
      <c r="A13" s="25"/>
      <c r="B13" s="25" t="s">
        <v>15</v>
      </c>
      <c r="C13" s="25"/>
      <c r="D13" s="25">
        <v>1</v>
      </c>
      <c r="E13" s="27" t="s">
        <v>8</v>
      </c>
      <c r="F13" s="39">
        <v>0</v>
      </c>
      <c r="G13" s="33">
        <f t="shared" si="0"/>
        <v>0</v>
      </c>
    </row>
    <row r="14" spans="1:7" x14ac:dyDescent="0.45">
      <c r="A14" s="25"/>
      <c r="B14" s="25" t="s">
        <v>16</v>
      </c>
      <c r="C14" s="25"/>
      <c r="D14" s="25">
        <v>1</v>
      </c>
      <c r="E14" s="27" t="s">
        <v>8</v>
      </c>
      <c r="F14" s="39">
        <v>12</v>
      </c>
      <c r="G14" s="33">
        <f t="shared" si="0"/>
        <v>12</v>
      </c>
    </row>
    <row r="15" spans="1:7" x14ac:dyDescent="0.45">
      <c r="A15" s="25"/>
      <c r="B15" s="25" t="s">
        <v>17</v>
      </c>
      <c r="C15" s="25"/>
      <c r="D15" s="40">
        <v>1.6</v>
      </c>
      <c r="E15" s="27" t="s">
        <v>18</v>
      </c>
      <c r="F15" s="41">
        <v>2.2000000000000002</v>
      </c>
      <c r="G15" s="33">
        <f>D15*F15</f>
        <v>3.5200000000000005</v>
      </c>
    </row>
    <row r="16" spans="1:7" x14ac:dyDescent="0.45">
      <c r="A16" s="25"/>
      <c r="B16" s="25" t="s">
        <v>19</v>
      </c>
      <c r="C16" s="25"/>
      <c r="D16" s="42">
        <v>0.1</v>
      </c>
      <c r="E16" s="27" t="s">
        <v>20</v>
      </c>
      <c r="F16" s="39">
        <f>+G15</f>
        <v>3.5200000000000005</v>
      </c>
      <c r="G16" s="33">
        <f t="shared" si="0"/>
        <v>0.35200000000000009</v>
      </c>
    </row>
    <row r="17" spans="1:9" x14ac:dyDescent="0.45">
      <c r="A17" s="25"/>
      <c r="B17" s="25" t="s">
        <v>21</v>
      </c>
      <c r="C17" s="25"/>
      <c r="D17" s="25">
        <v>1</v>
      </c>
      <c r="E17" s="27" t="s">
        <v>8</v>
      </c>
      <c r="F17" s="39">
        <f>4.7+5+0.57+2.96+6.97</f>
        <v>20.2</v>
      </c>
      <c r="G17" s="33">
        <f t="shared" si="0"/>
        <v>20.2</v>
      </c>
    </row>
    <row r="18" spans="1:9" x14ac:dyDescent="0.45">
      <c r="A18" s="25"/>
      <c r="B18" s="25" t="s">
        <v>22</v>
      </c>
      <c r="C18" s="25"/>
      <c r="D18" s="40">
        <v>0.1</v>
      </c>
      <c r="E18" s="27" t="s">
        <v>23</v>
      </c>
      <c r="F18" s="41">
        <v>12</v>
      </c>
      <c r="G18" s="33">
        <f t="shared" si="0"/>
        <v>1.2000000000000002</v>
      </c>
    </row>
    <row r="19" spans="1:9" x14ac:dyDescent="0.45">
      <c r="A19" s="25"/>
      <c r="B19" s="25" t="s">
        <v>24</v>
      </c>
      <c r="C19" s="25"/>
      <c r="D19" s="25">
        <v>1</v>
      </c>
      <c r="E19" s="27" t="s">
        <v>8</v>
      </c>
      <c r="F19" s="39">
        <v>0</v>
      </c>
      <c r="G19" s="33">
        <f t="shared" si="0"/>
        <v>0</v>
      </c>
    </row>
    <row r="20" spans="1:9" x14ac:dyDescent="0.45">
      <c r="A20" s="25"/>
      <c r="B20" s="25" t="s">
        <v>25</v>
      </c>
      <c r="C20" s="25"/>
      <c r="D20" s="25">
        <v>1</v>
      </c>
      <c r="E20" s="27" t="s">
        <v>8</v>
      </c>
      <c r="F20" s="39">
        <v>0</v>
      </c>
      <c r="G20" s="33">
        <f t="shared" si="0"/>
        <v>0</v>
      </c>
    </row>
    <row r="21" spans="1:9" ht="14.65" thickBot="1" x14ac:dyDescent="0.5">
      <c r="A21" s="25"/>
      <c r="B21" s="25" t="s">
        <v>26</v>
      </c>
      <c r="C21" s="25"/>
      <c r="D21" s="25"/>
      <c r="E21" s="25"/>
      <c r="F21" s="78">
        <f>+Assumptions!C3</f>
        <v>6.5000000000000002E-2</v>
      </c>
      <c r="G21" s="43">
        <f>+SUM(G10:G20)*F21/12*6</f>
        <v>3.6959650000000002</v>
      </c>
      <c r="I21" s="5"/>
    </row>
    <row r="22" spans="1:9" x14ac:dyDescent="0.45">
      <c r="A22" s="25"/>
      <c r="B22" s="25"/>
      <c r="C22" s="25"/>
      <c r="D22" s="25"/>
      <c r="E22" s="25"/>
      <c r="F22" s="25"/>
      <c r="G22" s="33">
        <f>SUM(G10:G21)</f>
        <v>117.41796500000001</v>
      </c>
    </row>
    <row r="23" spans="1:9" x14ac:dyDescent="0.45">
      <c r="A23" s="25" t="s">
        <v>27</v>
      </c>
      <c r="B23" s="25"/>
      <c r="C23" s="25"/>
      <c r="D23" s="25"/>
      <c r="E23" s="25"/>
      <c r="F23" s="25"/>
      <c r="G23" s="25"/>
      <c r="I23" s="5"/>
    </row>
    <row r="24" spans="1:9" x14ac:dyDescent="0.45">
      <c r="A24" s="25"/>
      <c r="B24" s="25" t="s">
        <v>28</v>
      </c>
      <c r="C24" s="25"/>
      <c r="D24" s="25">
        <v>1</v>
      </c>
      <c r="E24" s="25" t="s">
        <v>8</v>
      </c>
      <c r="F24" s="39">
        <f>24+2.5+D3*0.24</f>
        <v>34.9</v>
      </c>
      <c r="G24" s="33">
        <f>+D24*F24</f>
        <v>34.9</v>
      </c>
    </row>
    <row r="25" spans="1:9" x14ac:dyDescent="0.45">
      <c r="A25" s="25"/>
      <c r="B25" s="25" t="s">
        <v>29</v>
      </c>
      <c r="C25" s="25"/>
      <c r="D25" s="25"/>
      <c r="E25" s="25"/>
      <c r="F25" s="44"/>
      <c r="G25" s="25"/>
    </row>
    <row r="26" spans="1:9" ht="14.65" thickBot="1" x14ac:dyDescent="0.5">
      <c r="A26" s="25"/>
      <c r="B26" s="25"/>
      <c r="C26" s="25" t="s">
        <v>30</v>
      </c>
      <c r="D26" s="25">
        <v>1</v>
      </c>
      <c r="E26" s="25" t="s">
        <v>8</v>
      </c>
      <c r="F26" s="39">
        <v>0</v>
      </c>
      <c r="G26" s="43">
        <f>+D26*F26</f>
        <v>0</v>
      </c>
    </row>
    <row r="27" spans="1:9" ht="14.65" thickBot="1" x14ac:dyDescent="0.5">
      <c r="A27" s="25"/>
      <c r="B27" s="25"/>
      <c r="C27" s="25"/>
      <c r="D27" s="25" t="s">
        <v>31</v>
      </c>
      <c r="E27" s="25"/>
      <c r="F27" s="44"/>
      <c r="G27" s="45">
        <f>+G24+G26</f>
        <v>34.9</v>
      </c>
    </row>
    <row r="28" spans="1:9" ht="14.65" thickTop="1" x14ac:dyDescent="0.45">
      <c r="A28" s="25"/>
      <c r="B28" s="25"/>
      <c r="C28" s="25"/>
      <c r="D28" s="25"/>
      <c r="E28" s="25"/>
      <c r="F28" s="44"/>
      <c r="G28" s="25"/>
    </row>
    <row r="29" spans="1:9" ht="14.65" thickBot="1" x14ac:dyDescent="0.5">
      <c r="A29" s="25" t="s">
        <v>32</v>
      </c>
      <c r="B29" s="25"/>
      <c r="C29" s="25"/>
      <c r="D29" s="25">
        <v>1</v>
      </c>
      <c r="E29" s="25" t="s">
        <v>8</v>
      </c>
      <c r="F29" s="39">
        <v>0</v>
      </c>
      <c r="G29" s="46">
        <f>+D29*F29</f>
        <v>0</v>
      </c>
    </row>
    <row r="30" spans="1:9" ht="14.65" thickTop="1" x14ac:dyDescent="0.45">
      <c r="A30" s="25"/>
      <c r="B30" s="25"/>
      <c r="C30" s="25"/>
      <c r="D30" s="25"/>
      <c r="E30" s="25"/>
      <c r="F30" s="25"/>
      <c r="G30" s="25"/>
    </row>
    <row r="31" spans="1:9" ht="14.65" thickBot="1" x14ac:dyDescent="0.5">
      <c r="A31" s="25" t="s">
        <v>33</v>
      </c>
      <c r="B31" s="25"/>
      <c r="C31" s="25"/>
      <c r="D31" s="25"/>
      <c r="E31" s="25"/>
      <c r="F31" s="25"/>
      <c r="G31" s="36">
        <f>+G22+G27+G29</f>
        <v>152.31796500000002</v>
      </c>
    </row>
    <row r="32" spans="1:9" ht="14.65" thickTop="1" x14ac:dyDescent="0.45">
      <c r="A32" s="25"/>
      <c r="B32" s="25"/>
      <c r="C32" s="25"/>
      <c r="D32" s="25"/>
      <c r="E32" s="25"/>
      <c r="F32" s="25"/>
      <c r="G32" s="25"/>
    </row>
    <row r="33" spans="1:7" x14ac:dyDescent="0.45">
      <c r="A33" s="25" t="s">
        <v>34</v>
      </c>
      <c r="B33" s="25"/>
      <c r="C33" s="25"/>
      <c r="D33" s="25"/>
      <c r="E33" s="25"/>
      <c r="F33" s="25"/>
      <c r="G33" s="33">
        <f>+G7-G31</f>
        <v>8.6820349999999848</v>
      </c>
    </row>
    <row r="34" spans="1:7" x14ac:dyDescent="0.45">
      <c r="A34" s="25"/>
      <c r="B34" s="25" t="s">
        <v>35</v>
      </c>
      <c r="C34" s="25"/>
      <c r="D34" s="25"/>
      <c r="E34" s="25" t="s">
        <v>6</v>
      </c>
      <c r="F34" s="47">
        <f>IF(D3=0,"n/a",(G31-G4-G5-G6)/D3)</f>
        <v>4.3519418571428572</v>
      </c>
      <c r="G34" s="25"/>
    </row>
    <row r="35" spans="1:7" x14ac:dyDescent="0.45">
      <c r="A35" s="25"/>
      <c r="B35" s="25"/>
      <c r="C35" s="25"/>
      <c r="D35" s="25"/>
      <c r="E35" s="25"/>
      <c r="F35" s="25"/>
      <c r="G35" s="25"/>
    </row>
    <row r="36" spans="1:7" x14ac:dyDescent="0.45">
      <c r="A36" s="28" t="s">
        <v>36</v>
      </c>
      <c r="B36" s="28"/>
      <c r="C36" s="28"/>
      <c r="D36" s="28" t="s">
        <v>1</v>
      </c>
      <c r="E36" s="28" t="s">
        <v>2</v>
      </c>
      <c r="F36" s="28" t="s">
        <v>3</v>
      </c>
      <c r="G36" s="28" t="s">
        <v>4</v>
      </c>
    </row>
    <row r="37" spans="1:7" x14ac:dyDescent="0.45">
      <c r="A37" s="25"/>
      <c r="B37" s="25" t="s">
        <v>37</v>
      </c>
      <c r="C37" s="25"/>
      <c r="D37" s="25">
        <v>1</v>
      </c>
      <c r="E37" s="25" t="s">
        <v>8</v>
      </c>
      <c r="F37" s="39">
        <v>11.74</v>
      </c>
      <c r="G37" s="33">
        <f>D37*F37</f>
        <v>11.74</v>
      </c>
    </row>
    <row r="38" spans="1:7" x14ac:dyDescent="0.45">
      <c r="A38" s="25"/>
      <c r="B38" s="25" t="s">
        <v>38</v>
      </c>
      <c r="C38" s="25"/>
      <c r="D38" s="25">
        <v>1</v>
      </c>
      <c r="E38" s="25" t="s">
        <v>8</v>
      </c>
      <c r="F38" s="39">
        <f>+'[1]Wheat Dual A EGP'!F38</f>
        <v>0</v>
      </c>
      <c r="G38" s="33">
        <f t="shared" ref="G38:G45" si="1">D38*F38</f>
        <v>0</v>
      </c>
    </row>
    <row r="39" spans="1:7" x14ac:dyDescent="0.45">
      <c r="A39" s="25"/>
      <c r="B39" s="25" t="s">
        <v>39</v>
      </c>
      <c r="C39" s="25"/>
      <c r="D39" s="25">
        <v>1</v>
      </c>
      <c r="E39" s="25" t="s">
        <v>8</v>
      </c>
      <c r="F39" s="39">
        <f>+'[1]Wheat Dual A EGP'!F39</f>
        <v>0</v>
      </c>
      <c r="G39" s="33">
        <f t="shared" si="1"/>
        <v>0</v>
      </c>
    </row>
    <row r="40" spans="1:7" x14ac:dyDescent="0.45">
      <c r="A40" s="25"/>
      <c r="B40" s="25" t="s">
        <v>40</v>
      </c>
      <c r="C40" s="25"/>
      <c r="D40" s="25">
        <v>1</v>
      </c>
      <c r="E40" s="25" t="s">
        <v>8</v>
      </c>
      <c r="F40" s="39">
        <v>30</v>
      </c>
      <c r="G40" s="33">
        <f t="shared" si="1"/>
        <v>30</v>
      </c>
    </row>
    <row r="41" spans="1:7" x14ac:dyDescent="0.45">
      <c r="A41" s="25"/>
      <c r="B41" s="25" t="s">
        <v>41</v>
      </c>
      <c r="C41" s="25"/>
      <c r="D41" s="25">
        <v>1</v>
      </c>
      <c r="E41" s="25" t="s">
        <v>8</v>
      </c>
      <c r="F41" s="39">
        <f>+'[1]Wheat Dual A EGP'!F41</f>
        <v>0</v>
      </c>
      <c r="G41" s="33">
        <f t="shared" si="1"/>
        <v>0</v>
      </c>
    </row>
    <row r="42" spans="1:7" x14ac:dyDescent="0.45">
      <c r="A42" s="25"/>
      <c r="B42" s="25" t="s">
        <v>142</v>
      </c>
      <c r="C42" s="25"/>
      <c r="D42" s="25">
        <v>1</v>
      </c>
      <c r="E42" s="25" t="s">
        <v>8</v>
      </c>
      <c r="F42" s="39">
        <v>3.5</v>
      </c>
      <c r="G42" s="33">
        <f t="shared" si="1"/>
        <v>3.5</v>
      </c>
    </row>
    <row r="43" spans="1:7" x14ac:dyDescent="0.45">
      <c r="A43" s="25"/>
      <c r="B43" s="34" t="s">
        <v>43</v>
      </c>
      <c r="C43" s="34"/>
      <c r="D43" s="34">
        <v>1</v>
      </c>
      <c r="E43" s="34" t="s">
        <v>8</v>
      </c>
      <c r="F43" s="39">
        <f>+'[1]Wheat Dual A EGP'!F43</f>
        <v>0</v>
      </c>
      <c r="G43" s="33">
        <f t="shared" si="1"/>
        <v>0</v>
      </c>
    </row>
    <row r="44" spans="1:7" x14ac:dyDescent="0.45">
      <c r="A44" s="25"/>
      <c r="B44" s="34" t="s">
        <v>43</v>
      </c>
      <c r="C44" s="34"/>
      <c r="D44" s="34">
        <v>1</v>
      </c>
      <c r="E44" s="34" t="s">
        <v>8</v>
      </c>
      <c r="F44" s="39">
        <f>+'[1]Wheat Dual A EGP'!F44</f>
        <v>0</v>
      </c>
      <c r="G44" s="33">
        <f t="shared" si="1"/>
        <v>0</v>
      </c>
    </row>
    <row r="45" spans="1:7" ht="14.65" thickBot="1" x14ac:dyDescent="0.5">
      <c r="A45" s="25"/>
      <c r="B45" s="34" t="s">
        <v>43</v>
      </c>
      <c r="C45" s="34"/>
      <c r="D45" s="34">
        <v>1</v>
      </c>
      <c r="E45" s="34" t="s">
        <v>8</v>
      </c>
      <c r="F45" s="39">
        <f>+'[1]Wheat Dual A EGP'!F45</f>
        <v>0</v>
      </c>
      <c r="G45" s="36">
        <f t="shared" si="1"/>
        <v>0</v>
      </c>
    </row>
    <row r="46" spans="1:7" ht="14.65" thickTop="1" x14ac:dyDescent="0.45">
      <c r="A46" s="25"/>
      <c r="B46" s="25"/>
      <c r="C46" s="25"/>
      <c r="D46" s="25"/>
      <c r="E46" s="25"/>
      <c r="F46" s="25"/>
      <c r="G46" s="25"/>
    </row>
    <row r="47" spans="1:7" ht="14.65" thickBot="1" x14ac:dyDescent="0.5">
      <c r="A47" s="25" t="s">
        <v>44</v>
      </c>
      <c r="B47" s="25"/>
      <c r="C47" s="25"/>
      <c r="D47" s="25"/>
      <c r="E47" s="25"/>
      <c r="F47" s="25"/>
      <c r="G47" s="36">
        <f>SUM(G37:G45)</f>
        <v>45.24</v>
      </c>
    </row>
    <row r="48" spans="1:7" ht="14.65" thickTop="1" x14ac:dyDescent="0.45">
      <c r="A48" s="25"/>
      <c r="B48" s="25"/>
      <c r="C48" s="25"/>
      <c r="D48" s="25"/>
      <c r="E48" s="25"/>
      <c r="F48" s="25"/>
      <c r="G48" s="25"/>
    </row>
    <row r="49" spans="1:7" ht="14.65" thickBot="1" x14ac:dyDescent="0.5">
      <c r="A49" s="25" t="s">
        <v>45</v>
      </c>
      <c r="B49" s="25"/>
      <c r="C49" s="25"/>
      <c r="D49" s="25"/>
      <c r="E49" s="25"/>
      <c r="F49" s="25"/>
      <c r="G49" s="36">
        <f>+G31+G47</f>
        <v>197.55796500000002</v>
      </c>
    </row>
    <row r="50" spans="1:7" ht="14.65" thickTop="1" x14ac:dyDescent="0.45">
      <c r="A50" s="25"/>
      <c r="B50" s="25"/>
      <c r="C50" s="25"/>
      <c r="D50" s="25"/>
      <c r="E50" s="25"/>
      <c r="F50" s="25"/>
      <c r="G50" s="25"/>
    </row>
    <row r="51" spans="1:7" x14ac:dyDescent="0.45">
      <c r="A51" s="25" t="s">
        <v>46</v>
      </c>
      <c r="B51" s="25"/>
      <c r="C51" s="25"/>
      <c r="D51" s="25"/>
      <c r="E51" s="25"/>
      <c r="F51" s="25"/>
      <c r="G51" s="33">
        <f>+G7-G49</f>
        <v>-36.557965000000024</v>
      </c>
    </row>
    <row r="52" spans="1:7" ht="14.65" thickBot="1" x14ac:dyDescent="0.5">
      <c r="A52" s="48" t="s">
        <v>47</v>
      </c>
      <c r="B52" s="48"/>
      <c r="C52" s="48"/>
      <c r="D52" s="48"/>
      <c r="E52" s="48" t="s">
        <v>6</v>
      </c>
      <c r="F52" s="49">
        <f>IF(D3=0,"n/a",(G49-G4-G5-G6)/D3)</f>
        <v>5.6445132857142868</v>
      </c>
      <c r="G52" s="48"/>
    </row>
    <row r="53" spans="1:7" ht="14.65" thickTop="1" x14ac:dyDescent="0.4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E8EEC-77E3-4443-AEF0-B6FF3FE95B6A}">
  <dimension ref="A1:T53"/>
  <sheetViews>
    <sheetView zoomScaleNormal="100" workbookViewId="0">
      <selection activeCell="B1" sqref="B1"/>
    </sheetView>
  </sheetViews>
  <sheetFormatPr defaultRowHeight="14.25" x14ac:dyDescent="0.45"/>
  <cols>
    <col min="1" max="2" width="3" style="1" customWidth="1"/>
    <col min="3" max="3" width="27.1328125" style="1" customWidth="1"/>
    <col min="4" max="7" width="10.1328125" style="1" customWidth="1"/>
    <col min="8" max="255" width="9.1328125" style="1"/>
    <col min="256" max="257" width="3" style="1" customWidth="1"/>
    <col min="258" max="258" width="27.1328125" style="1" customWidth="1"/>
    <col min="259" max="263" width="10.1328125" style="1" customWidth="1"/>
    <col min="264" max="511" width="9.1328125" style="1"/>
    <col min="512" max="513" width="3" style="1" customWidth="1"/>
    <col min="514" max="514" width="27.1328125" style="1" customWidth="1"/>
    <col min="515" max="519" width="10.1328125" style="1" customWidth="1"/>
    <col min="520" max="767" width="9.1328125" style="1"/>
    <col min="768" max="769" width="3" style="1" customWidth="1"/>
    <col min="770" max="770" width="27.1328125" style="1" customWidth="1"/>
    <col min="771" max="775" width="10.1328125" style="1" customWidth="1"/>
    <col min="776" max="1023" width="9.1328125" style="1"/>
    <col min="1024" max="1025" width="3" style="1" customWidth="1"/>
    <col min="1026" max="1026" width="27.1328125" style="1" customWidth="1"/>
    <col min="1027" max="1031" width="10.1328125" style="1" customWidth="1"/>
    <col min="1032" max="1279" width="9.1328125" style="1"/>
    <col min="1280" max="1281" width="3" style="1" customWidth="1"/>
    <col min="1282" max="1282" width="27.1328125" style="1" customWidth="1"/>
    <col min="1283" max="1287" width="10.1328125" style="1" customWidth="1"/>
    <col min="1288" max="1535" width="9.1328125" style="1"/>
    <col min="1536" max="1537" width="3" style="1" customWidth="1"/>
    <col min="1538" max="1538" width="27.1328125" style="1" customWidth="1"/>
    <col min="1539" max="1543" width="10.1328125" style="1" customWidth="1"/>
    <col min="1544" max="1791" width="9.1328125" style="1"/>
    <col min="1792" max="1793" width="3" style="1" customWidth="1"/>
    <col min="1794" max="1794" width="27.1328125" style="1" customWidth="1"/>
    <col min="1795" max="1799" width="10.1328125" style="1" customWidth="1"/>
    <col min="1800" max="2047" width="9.1328125" style="1"/>
    <col min="2048" max="2049" width="3" style="1" customWidth="1"/>
    <col min="2050" max="2050" width="27.1328125" style="1" customWidth="1"/>
    <col min="2051" max="2055" width="10.1328125" style="1" customWidth="1"/>
    <col min="2056" max="2303" width="9.1328125" style="1"/>
    <col min="2304" max="2305" width="3" style="1" customWidth="1"/>
    <col min="2306" max="2306" width="27.1328125" style="1" customWidth="1"/>
    <col min="2307" max="2311" width="10.1328125" style="1" customWidth="1"/>
    <col min="2312" max="2559" width="9.1328125" style="1"/>
    <col min="2560" max="2561" width="3" style="1" customWidth="1"/>
    <col min="2562" max="2562" width="27.1328125" style="1" customWidth="1"/>
    <col min="2563" max="2567" width="10.1328125" style="1" customWidth="1"/>
    <col min="2568" max="2815" width="9.1328125" style="1"/>
    <col min="2816" max="2817" width="3" style="1" customWidth="1"/>
    <col min="2818" max="2818" width="27.1328125" style="1" customWidth="1"/>
    <col min="2819" max="2823" width="10.1328125" style="1" customWidth="1"/>
    <col min="2824" max="3071" width="9.1328125" style="1"/>
    <col min="3072" max="3073" width="3" style="1" customWidth="1"/>
    <col min="3074" max="3074" width="27.1328125" style="1" customWidth="1"/>
    <col min="3075" max="3079" width="10.1328125" style="1" customWidth="1"/>
    <col min="3080" max="3327" width="9.1328125" style="1"/>
    <col min="3328" max="3329" width="3" style="1" customWidth="1"/>
    <col min="3330" max="3330" width="27.1328125" style="1" customWidth="1"/>
    <col min="3331" max="3335" width="10.1328125" style="1" customWidth="1"/>
    <col min="3336" max="3583" width="9.1328125" style="1"/>
    <col min="3584" max="3585" width="3" style="1" customWidth="1"/>
    <col min="3586" max="3586" width="27.1328125" style="1" customWidth="1"/>
    <col min="3587" max="3591" width="10.1328125" style="1" customWidth="1"/>
    <col min="3592" max="3839" width="9.1328125" style="1"/>
    <col min="3840" max="3841" width="3" style="1" customWidth="1"/>
    <col min="3842" max="3842" width="27.1328125" style="1" customWidth="1"/>
    <col min="3843" max="3847" width="10.1328125" style="1" customWidth="1"/>
    <col min="3848" max="4095" width="9.1328125" style="1"/>
    <col min="4096" max="4097" width="3" style="1" customWidth="1"/>
    <col min="4098" max="4098" width="27.1328125" style="1" customWidth="1"/>
    <col min="4099" max="4103" width="10.1328125" style="1" customWidth="1"/>
    <col min="4104" max="4351" width="9.1328125" style="1"/>
    <col min="4352" max="4353" width="3" style="1" customWidth="1"/>
    <col min="4354" max="4354" width="27.1328125" style="1" customWidth="1"/>
    <col min="4355" max="4359" width="10.1328125" style="1" customWidth="1"/>
    <col min="4360" max="4607" width="9.1328125" style="1"/>
    <col min="4608" max="4609" width="3" style="1" customWidth="1"/>
    <col min="4610" max="4610" width="27.1328125" style="1" customWidth="1"/>
    <col min="4611" max="4615" width="10.1328125" style="1" customWidth="1"/>
    <col min="4616" max="4863" width="9.1328125" style="1"/>
    <col min="4864" max="4865" width="3" style="1" customWidth="1"/>
    <col min="4866" max="4866" width="27.1328125" style="1" customWidth="1"/>
    <col min="4867" max="4871" width="10.1328125" style="1" customWidth="1"/>
    <col min="4872" max="5119" width="9.1328125" style="1"/>
    <col min="5120" max="5121" width="3" style="1" customWidth="1"/>
    <col min="5122" max="5122" width="27.1328125" style="1" customWidth="1"/>
    <col min="5123" max="5127" width="10.1328125" style="1" customWidth="1"/>
    <col min="5128" max="5375" width="9.1328125" style="1"/>
    <col min="5376" max="5377" width="3" style="1" customWidth="1"/>
    <col min="5378" max="5378" width="27.1328125" style="1" customWidth="1"/>
    <col min="5379" max="5383" width="10.1328125" style="1" customWidth="1"/>
    <col min="5384" max="5631" width="9.1328125" style="1"/>
    <col min="5632" max="5633" width="3" style="1" customWidth="1"/>
    <col min="5634" max="5634" width="27.1328125" style="1" customWidth="1"/>
    <col min="5635" max="5639" width="10.1328125" style="1" customWidth="1"/>
    <col min="5640" max="5887" width="9.1328125" style="1"/>
    <col min="5888" max="5889" width="3" style="1" customWidth="1"/>
    <col min="5890" max="5890" width="27.1328125" style="1" customWidth="1"/>
    <col min="5891" max="5895" width="10.1328125" style="1" customWidth="1"/>
    <col min="5896" max="6143" width="9.1328125" style="1"/>
    <col min="6144" max="6145" width="3" style="1" customWidth="1"/>
    <col min="6146" max="6146" width="27.1328125" style="1" customWidth="1"/>
    <col min="6147" max="6151" width="10.1328125" style="1" customWidth="1"/>
    <col min="6152" max="6399" width="9.1328125" style="1"/>
    <col min="6400" max="6401" width="3" style="1" customWidth="1"/>
    <col min="6402" max="6402" width="27.1328125" style="1" customWidth="1"/>
    <col min="6403" max="6407" width="10.1328125" style="1" customWidth="1"/>
    <col min="6408" max="6655" width="9.1328125" style="1"/>
    <col min="6656" max="6657" width="3" style="1" customWidth="1"/>
    <col min="6658" max="6658" width="27.1328125" style="1" customWidth="1"/>
    <col min="6659" max="6663" width="10.1328125" style="1" customWidth="1"/>
    <col min="6664" max="6911" width="9.1328125" style="1"/>
    <col min="6912" max="6913" width="3" style="1" customWidth="1"/>
    <col min="6914" max="6914" width="27.1328125" style="1" customWidth="1"/>
    <col min="6915" max="6919" width="10.1328125" style="1" customWidth="1"/>
    <col min="6920" max="7167" width="9.1328125" style="1"/>
    <col min="7168" max="7169" width="3" style="1" customWidth="1"/>
    <col min="7170" max="7170" width="27.1328125" style="1" customWidth="1"/>
    <col min="7171" max="7175" width="10.1328125" style="1" customWidth="1"/>
    <col min="7176" max="7423" width="9.1328125" style="1"/>
    <col min="7424" max="7425" width="3" style="1" customWidth="1"/>
    <col min="7426" max="7426" width="27.1328125" style="1" customWidth="1"/>
    <col min="7427" max="7431" width="10.1328125" style="1" customWidth="1"/>
    <col min="7432" max="7679" width="9.1328125" style="1"/>
    <col min="7680" max="7681" width="3" style="1" customWidth="1"/>
    <col min="7682" max="7682" width="27.1328125" style="1" customWidth="1"/>
    <col min="7683" max="7687" width="10.1328125" style="1" customWidth="1"/>
    <col min="7688" max="7935" width="9.1328125" style="1"/>
    <col min="7936" max="7937" width="3" style="1" customWidth="1"/>
    <col min="7938" max="7938" width="27.1328125" style="1" customWidth="1"/>
    <col min="7939" max="7943" width="10.1328125" style="1" customWidth="1"/>
    <col min="7944" max="8191" width="9.1328125" style="1"/>
    <col min="8192" max="8193" width="3" style="1" customWidth="1"/>
    <col min="8194" max="8194" width="27.1328125" style="1" customWidth="1"/>
    <col min="8195" max="8199" width="10.1328125" style="1" customWidth="1"/>
    <col min="8200" max="8447" width="9.1328125" style="1"/>
    <col min="8448" max="8449" width="3" style="1" customWidth="1"/>
    <col min="8450" max="8450" width="27.1328125" style="1" customWidth="1"/>
    <col min="8451" max="8455" width="10.1328125" style="1" customWidth="1"/>
    <col min="8456" max="8703" width="9.1328125" style="1"/>
    <col min="8704" max="8705" width="3" style="1" customWidth="1"/>
    <col min="8706" max="8706" width="27.1328125" style="1" customWidth="1"/>
    <col min="8707" max="8711" width="10.1328125" style="1" customWidth="1"/>
    <col min="8712" max="8959" width="9.1328125" style="1"/>
    <col min="8960" max="8961" width="3" style="1" customWidth="1"/>
    <col min="8962" max="8962" width="27.1328125" style="1" customWidth="1"/>
    <col min="8963" max="8967" width="10.1328125" style="1" customWidth="1"/>
    <col min="8968" max="9215" width="9.1328125" style="1"/>
    <col min="9216" max="9217" width="3" style="1" customWidth="1"/>
    <col min="9218" max="9218" width="27.1328125" style="1" customWidth="1"/>
    <col min="9219" max="9223" width="10.1328125" style="1" customWidth="1"/>
    <col min="9224" max="9471" width="9.1328125" style="1"/>
    <col min="9472" max="9473" width="3" style="1" customWidth="1"/>
    <col min="9474" max="9474" width="27.1328125" style="1" customWidth="1"/>
    <col min="9475" max="9479" width="10.1328125" style="1" customWidth="1"/>
    <col min="9480" max="9727" width="9.1328125" style="1"/>
    <col min="9728" max="9729" width="3" style="1" customWidth="1"/>
    <col min="9730" max="9730" width="27.1328125" style="1" customWidth="1"/>
    <col min="9731" max="9735" width="10.1328125" style="1" customWidth="1"/>
    <col min="9736" max="9983" width="9.1328125" style="1"/>
    <col min="9984" max="9985" width="3" style="1" customWidth="1"/>
    <col min="9986" max="9986" width="27.1328125" style="1" customWidth="1"/>
    <col min="9987" max="9991" width="10.1328125" style="1" customWidth="1"/>
    <col min="9992" max="10239" width="9.1328125" style="1"/>
    <col min="10240" max="10241" width="3" style="1" customWidth="1"/>
    <col min="10242" max="10242" width="27.1328125" style="1" customWidth="1"/>
    <col min="10243" max="10247" width="10.1328125" style="1" customWidth="1"/>
    <col min="10248" max="10495" width="9.1328125" style="1"/>
    <col min="10496" max="10497" width="3" style="1" customWidth="1"/>
    <col min="10498" max="10498" width="27.1328125" style="1" customWidth="1"/>
    <col min="10499" max="10503" width="10.1328125" style="1" customWidth="1"/>
    <col min="10504" max="10751" width="9.1328125" style="1"/>
    <col min="10752" max="10753" width="3" style="1" customWidth="1"/>
    <col min="10754" max="10754" width="27.1328125" style="1" customWidth="1"/>
    <col min="10755" max="10759" width="10.1328125" style="1" customWidth="1"/>
    <col min="10760" max="11007" width="9.1328125" style="1"/>
    <col min="11008" max="11009" width="3" style="1" customWidth="1"/>
    <col min="11010" max="11010" width="27.1328125" style="1" customWidth="1"/>
    <col min="11011" max="11015" width="10.1328125" style="1" customWidth="1"/>
    <col min="11016" max="11263" width="9.1328125" style="1"/>
    <col min="11264" max="11265" width="3" style="1" customWidth="1"/>
    <col min="11266" max="11266" width="27.1328125" style="1" customWidth="1"/>
    <col min="11267" max="11271" width="10.1328125" style="1" customWidth="1"/>
    <col min="11272" max="11519" width="9.1328125" style="1"/>
    <col min="11520" max="11521" width="3" style="1" customWidth="1"/>
    <col min="11522" max="11522" width="27.1328125" style="1" customWidth="1"/>
    <col min="11523" max="11527" width="10.1328125" style="1" customWidth="1"/>
    <col min="11528" max="11775" width="9.1328125" style="1"/>
    <col min="11776" max="11777" width="3" style="1" customWidth="1"/>
    <col min="11778" max="11778" width="27.1328125" style="1" customWidth="1"/>
    <col min="11779" max="11783" width="10.1328125" style="1" customWidth="1"/>
    <col min="11784" max="12031" width="9.1328125" style="1"/>
    <col min="12032" max="12033" width="3" style="1" customWidth="1"/>
    <col min="12034" max="12034" width="27.1328125" style="1" customWidth="1"/>
    <col min="12035" max="12039" width="10.1328125" style="1" customWidth="1"/>
    <col min="12040" max="12287" width="9.1328125" style="1"/>
    <col min="12288" max="12289" width="3" style="1" customWidth="1"/>
    <col min="12290" max="12290" width="27.1328125" style="1" customWidth="1"/>
    <col min="12291" max="12295" width="10.1328125" style="1" customWidth="1"/>
    <col min="12296" max="12543" width="9.1328125" style="1"/>
    <col min="12544" max="12545" width="3" style="1" customWidth="1"/>
    <col min="12546" max="12546" width="27.1328125" style="1" customWidth="1"/>
    <col min="12547" max="12551" width="10.1328125" style="1" customWidth="1"/>
    <col min="12552" max="12799" width="9.1328125" style="1"/>
    <col min="12800" max="12801" width="3" style="1" customWidth="1"/>
    <col min="12802" max="12802" width="27.1328125" style="1" customWidth="1"/>
    <col min="12803" max="12807" width="10.1328125" style="1" customWidth="1"/>
    <col min="12808" max="13055" width="9.1328125" style="1"/>
    <col min="13056" max="13057" width="3" style="1" customWidth="1"/>
    <col min="13058" max="13058" width="27.1328125" style="1" customWidth="1"/>
    <col min="13059" max="13063" width="10.1328125" style="1" customWidth="1"/>
    <col min="13064" max="13311" width="9.1328125" style="1"/>
    <col min="13312" max="13313" width="3" style="1" customWidth="1"/>
    <col min="13314" max="13314" width="27.1328125" style="1" customWidth="1"/>
    <col min="13315" max="13319" width="10.1328125" style="1" customWidth="1"/>
    <col min="13320" max="13567" width="9.1328125" style="1"/>
    <col min="13568" max="13569" width="3" style="1" customWidth="1"/>
    <col min="13570" max="13570" width="27.1328125" style="1" customWidth="1"/>
    <col min="13571" max="13575" width="10.1328125" style="1" customWidth="1"/>
    <col min="13576" max="13823" width="9.1328125" style="1"/>
    <col min="13824" max="13825" width="3" style="1" customWidth="1"/>
    <col min="13826" max="13826" width="27.1328125" style="1" customWidth="1"/>
    <col min="13827" max="13831" width="10.1328125" style="1" customWidth="1"/>
    <col min="13832" max="14079" width="9.1328125" style="1"/>
    <col min="14080" max="14081" width="3" style="1" customWidth="1"/>
    <col min="14082" max="14082" width="27.1328125" style="1" customWidth="1"/>
    <col min="14083" max="14087" width="10.1328125" style="1" customWidth="1"/>
    <col min="14088" max="14335" width="9.1328125" style="1"/>
    <col min="14336" max="14337" width="3" style="1" customWidth="1"/>
    <col min="14338" max="14338" width="27.1328125" style="1" customWidth="1"/>
    <col min="14339" max="14343" width="10.1328125" style="1" customWidth="1"/>
    <col min="14344" max="14591" width="9.1328125" style="1"/>
    <col min="14592" max="14593" width="3" style="1" customWidth="1"/>
    <col min="14594" max="14594" width="27.1328125" style="1" customWidth="1"/>
    <col min="14595" max="14599" width="10.1328125" style="1" customWidth="1"/>
    <col min="14600" max="14847" width="9.1328125" style="1"/>
    <col min="14848" max="14849" width="3" style="1" customWidth="1"/>
    <col min="14850" max="14850" width="27.1328125" style="1" customWidth="1"/>
    <col min="14851" max="14855" width="10.1328125" style="1" customWidth="1"/>
    <col min="14856" max="15103" width="9.1328125" style="1"/>
    <col min="15104" max="15105" width="3" style="1" customWidth="1"/>
    <col min="15106" max="15106" width="27.1328125" style="1" customWidth="1"/>
    <col min="15107" max="15111" width="10.1328125" style="1" customWidth="1"/>
    <col min="15112" max="15359" width="9.1328125" style="1"/>
    <col min="15360" max="15361" width="3" style="1" customWidth="1"/>
    <col min="15362" max="15362" width="27.1328125" style="1" customWidth="1"/>
    <col min="15363" max="15367" width="10.1328125" style="1" customWidth="1"/>
    <col min="15368" max="15615" width="9.1328125" style="1"/>
    <col min="15616" max="15617" width="3" style="1" customWidth="1"/>
    <col min="15618" max="15618" width="27.1328125" style="1" customWidth="1"/>
    <col min="15619" max="15623" width="10.1328125" style="1" customWidth="1"/>
    <col min="15624" max="15871" width="9.1328125" style="1"/>
    <col min="15872" max="15873" width="3" style="1" customWidth="1"/>
    <col min="15874" max="15874" width="27.1328125" style="1" customWidth="1"/>
    <col min="15875" max="15879" width="10.1328125" style="1" customWidth="1"/>
    <col min="15880" max="16127" width="9.1328125" style="1"/>
    <col min="16128" max="16129" width="3" style="1" customWidth="1"/>
    <col min="16130" max="16130" width="27.1328125" style="1" customWidth="1"/>
    <col min="16131" max="16135" width="10.1328125" style="1" customWidth="1"/>
    <col min="16136" max="16383" width="9.1328125" style="1"/>
    <col min="16384" max="16384" width="9.1328125" style="1" customWidth="1"/>
  </cols>
  <sheetData>
    <row r="1" spans="1:20" x14ac:dyDescent="0.45">
      <c r="A1" s="25"/>
      <c r="B1" s="26" t="s">
        <v>94</v>
      </c>
      <c r="C1" s="25"/>
      <c r="D1" s="27"/>
      <c r="E1" s="27"/>
      <c r="F1" s="27"/>
      <c r="G1" s="27" t="e">
        <f>+Assumptions!#REF!</f>
        <v>#REF!</v>
      </c>
    </row>
    <row r="2" spans="1:20" x14ac:dyDescent="0.45">
      <c r="A2" s="28" t="s">
        <v>0</v>
      </c>
      <c r="B2" s="28"/>
      <c r="C2" s="28"/>
      <c r="D2" s="29" t="s">
        <v>1</v>
      </c>
      <c r="E2" s="29" t="s">
        <v>2</v>
      </c>
      <c r="F2" s="29" t="s">
        <v>3</v>
      </c>
      <c r="G2" s="29" t="s">
        <v>4</v>
      </c>
    </row>
    <row r="3" spans="1:20" x14ac:dyDescent="0.45">
      <c r="A3" s="25"/>
      <c r="B3" s="25" t="s">
        <v>5</v>
      </c>
      <c r="C3" s="25"/>
      <c r="D3" s="69">
        <f>+Assumptions!F5</f>
        <v>30</v>
      </c>
      <c r="E3" s="31" t="s">
        <v>113</v>
      </c>
      <c r="F3" s="70">
        <f>+Assumptions!F11</f>
        <v>4.5999999999999996</v>
      </c>
      <c r="G3" s="33">
        <f>D3*F3</f>
        <v>138</v>
      </c>
      <c r="J3" s="1" t="s">
        <v>51</v>
      </c>
      <c r="K3" s="1" t="s">
        <v>52</v>
      </c>
      <c r="L3" s="1" t="s">
        <v>48</v>
      </c>
      <c r="M3" s="1" t="s">
        <v>131</v>
      </c>
      <c r="N3" s="1" t="s">
        <v>49</v>
      </c>
      <c r="O3" s="1" t="s">
        <v>53</v>
      </c>
      <c r="P3" s="1" t="s">
        <v>57</v>
      </c>
      <c r="Q3" s="1" t="s">
        <v>104</v>
      </c>
      <c r="S3" s="1" t="s">
        <v>57</v>
      </c>
    </row>
    <row r="4" spans="1:20" x14ac:dyDescent="0.45">
      <c r="A4" s="25"/>
      <c r="B4" s="34" t="s">
        <v>132</v>
      </c>
      <c r="C4" s="35"/>
      <c r="D4" s="75">
        <f>+M4</f>
        <v>83.25</v>
      </c>
      <c r="E4" s="31" t="s">
        <v>72</v>
      </c>
      <c r="F4" s="70">
        <f>+N4</f>
        <v>0.55000000000000004</v>
      </c>
      <c r="G4" s="33">
        <f>D4*F4</f>
        <v>45.787500000000001</v>
      </c>
      <c r="J4" s="4">
        <f>+_xlfn.DAYS(Assumptions!F20,Assumptions!F15)</f>
        <v>111</v>
      </c>
      <c r="K4" s="1">
        <f>Assumptions!F17</f>
        <v>1.5</v>
      </c>
      <c r="L4" s="1">
        <f>Assumptions!F16</f>
        <v>2</v>
      </c>
      <c r="M4" s="4">
        <f>+J4*K4/L4</f>
        <v>83.25</v>
      </c>
      <c r="N4" s="8">
        <f>+Assumptions!F12</f>
        <v>0.55000000000000004</v>
      </c>
      <c r="O4" s="1">
        <f>+N4*M4</f>
        <v>45.787500000000001</v>
      </c>
      <c r="Q4" s="1">
        <f>O4*2</f>
        <v>91.575000000000003</v>
      </c>
      <c r="S4" s="1" t="e">
        <f>+'Wheat Dual ~800Lb'!#REF!</f>
        <v>#REF!</v>
      </c>
      <c r="T4" s="1" t="e">
        <f>+S4*K4*J4</f>
        <v>#REF!</v>
      </c>
    </row>
    <row r="5" spans="1:20" x14ac:dyDescent="0.45">
      <c r="A5" s="25"/>
      <c r="B5" s="34" t="s">
        <v>7</v>
      </c>
      <c r="C5" s="35"/>
      <c r="D5" s="34">
        <v>1</v>
      </c>
      <c r="E5" s="31" t="s">
        <v>8</v>
      </c>
      <c r="F5" s="32">
        <v>0</v>
      </c>
      <c r="G5" s="33">
        <f>D5*F5</f>
        <v>0</v>
      </c>
      <c r="J5" s="4">
        <f>+_xlfn.DAYS(Assumptions!F23,Assumptions!F20)</f>
        <v>47</v>
      </c>
      <c r="K5" s="1">
        <f>Assumptions!F22</f>
        <v>2.35</v>
      </c>
      <c r="L5" s="1">
        <f>Assumptions!F21</f>
        <v>0.75</v>
      </c>
      <c r="M5" s="4">
        <f>+J5*K5/L5</f>
        <v>147.26666666666668</v>
      </c>
      <c r="N5" s="8">
        <f>+N4</f>
        <v>0.55000000000000004</v>
      </c>
      <c r="O5" s="1">
        <f>+N5*M5</f>
        <v>80.996666666666684</v>
      </c>
      <c r="Q5" s="1">
        <f>O5*L5</f>
        <v>60.747500000000016</v>
      </c>
      <c r="S5" s="1" t="e">
        <f>+S4</f>
        <v>#REF!</v>
      </c>
      <c r="T5" s="1" t="e">
        <f>+S5*K5*J5</f>
        <v>#REF!</v>
      </c>
    </row>
    <row r="6" spans="1:20" ht="14.65" thickBot="1" x14ac:dyDescent="0.5">
      <c r="A6" s="25"/>
      <c r="B6" s="34" t="s">
        <v>7</v>
      </c>
      <c r="C6" s="35"/>
      <c r="D6" s="34">
        <v>1</v>
      </c>
      <c r="E6" s="31" t="s">
        <v>8</v>
      </c>
      <c r="F6" s="32">
        <v>0</v>
      </c>
      <c r="G6" s="36">
        <f>D6*F6</f>
        <v>0</v>
      </c>
    </row>
    <row r="7" spans="1:20" ht="14.65" thickTop="1" x14ac:dyDescent="0.45">
      <c r="A7" s="37" t="s">
        <v>9</v>
      </c>
      <c r="B7" s="37"/>
      <c r="C7" s="37"/>
      <c r="D7" s="37"/>
      <c r="E7" s="37"/>
      <c r="F7" s="37"/>
      <c r="G7" s="38">
        <f>SUM(G3:G6)</f>
        <v>183.78749999999999</v>
      </c>
    </row>
    <row r="8" spans="1:20" x14ac:dyDescent="0.45">
      <c r="A8" s="28" t="s">
        <v>10</v>
      </c>
      <c r="B8" s="28"/>
      <c r="C8" s="28"/>
      <c r="D8" s="28" t="s">
        <v>1</v>
      </c>
      <c r="E8" s="28" t="s">
        <v>2</v>
      </c>
      <c r="F8" s="28" t="s">
        <v>3</v>
      </c>
      <c r="G8" s="28" t="s">
        <v>4</v>
      </c>
    </row>
    <row r="9" spans="1:20" x14ac:dyDescent="0.45">
      <c r="A9" s="25" t="s">
        <v>11</v>
      </c>
      <c r="B9" s="25"/>
      <c r="C9" s="25"/>
      <c r="D9" s="25"/>
      <c r="E9" s="25"/>
      <c r="F9" s="25"/>
      <c r="G9" s="25"/>
    </row>
    <row r="10" spans="1:20" x14ac:dyDescent="0.45">
      <c r="A10" s="25"/>
      <c r="B10" s="25" t="s">
        <v>12</v>
      </c>
      <c r="C10" s="25"/>
      <c r="D10" s="25">
        <v>1</v>
      </c>
      <c r="E10" s="27" t="s">
        <v>8</v>
      </c>
      <c r="F10" s="39">
        <v>17.5</v>
      </c>
      <c r="G10" s="33">
        <f t="shared" ref="G10:G20" si="0">D10*F10</f>
        <v>17.5</v>
      </c>
    </row>
    <row r="11" spans="1:20" x14ac:dyDescent="0.45">
      <c r="A11" s="25"/>
      <c r="B11" s="25" t="s">
        <v>13</v>
      </c>
      <c r="C11" s="25"/>
      <c r="D11" s="25">
        <v>1</v>
      </c>
      <c r="E11" s="27" t="s">
        <v>8</v>
      </c>
      <c r="F11" s="39">
        <f>2.5+48</f>
        <v>50.5</v>
      </c>
      <c r="G11" s="33">
        <f t="shared" si="0"/>
        <v>50.5</v>
      </c>
      <c r="K11" s="1">
        <v>44.64</v>
      </c>
    </row>
    <row r="12" spans="1:20" x14ac:dyDescent="0.45">
      <c r="A12" s="25"/>
      <c r="B12" s="25" t="s">
        <v>14</v>
      </c>
      <c r="C12" s="25"/>
      <c r="D12" s="25">
        <v>1</v>
      </c>
      <c r="E12" s="27" t="s">
        <v>8</v>
      </c>
      <c r="F12" s="39">
        <v>16</v>
      </c>
      <c r="G12" s="33">
        <f t="shared" si="0"/>
        <v>16</v>
      </c>
    </row>
    <row r="13" spans="1:20" x14ac:dyDescent="0.45">
      <c r="A13" s="25"/>
      <c r="B13" s="25" t="s">
        <v>15</v>
      </c>
      <c r="C13" s="25"/>
      <c r="D13" s="25">
        <v>1</v>
      </c>
      <c r="E13" s="27" t="s">
        <v>8</v>
      </c>
      <c r="F13" s="39">
        <v>0</v>
      </c>
      <c r="G13" s="33">
        <f t="shared" si="0"/>
        <v>0</v>
      </c>
    </row>
    <row r="14" spans="1:20" x14ac:dyDescent="0.45">
      <c r="A14" s="25"/>
      <c r="B14" s="25" t="s">
        <v>16</v>
      </c>
      <c r="C14" s="25"/>
      <c r="D14" s="25">
        <v>1</v>
      </c>
      <c r="E14" s="27" t="s">
        <v>8</v>
      </c>
      <c r="F14" s="39">
        <v>12</v>
      </c>
      <c r="G14" s="33">
        <f t="shared" si="0"/>
        <v>12</v>
      </c>
    </row>
    <row r="15" spans="1:20" x14ac:dyDescent="0.45">
      <c r="A15" s="25"/>
      <c r="B15" s="25" t="s">
        <v>17</v>
      </c>
      <c r="C15" s="25"/>
      <c r="D15" s="40">
        <v>1.96</v>
      </c>
      <c r="E15" s="27" t="s">
        <v>18</v>
      </c>
      <c r="F15" s="41">
        <v>2.2000000000000002</v>
      </c>
      <c r="G15" s="33">
        <f t="shared" si="0"/>
        <v>4.3120000000000003</v>
      </c>
    </row>
    <row r="16" spans="1:20" x14ac:dyDescent="0.45">
      <c r="A16" s="25"/>
      <c r="B16" s="25" t="s">
        <v>19</v>
      </c>
      <c r="C16" s="25"/>
      <c r="D16" s="42">
        <v>0.1</v>
      </c>
      <c r="E16" s="27" t="s">
        <v>20</v>
      </c>
      <c r="F16" s="39">
        <f>+G15</f>
        <v>4.3120000000000003</v>
      </c>
      <c r="G16" s="33">
        <f t="shared" si="0"/>
        <v>0.43120000000000003</v>
      </c>
    </row>
    <row r="17" spans="1:9" x14ac:dyDescent="0.45">
      <c r="A17" s="25"/>
      <c r="B17" s="25" t="s">
        <v>50</v>
      </c>
      <c r="C17" s="25"/>
      <c r="D17" s="25">
        <v>1</v>
      </c>
      <c r="E17" s="27" t="s">
        <v>8</v>
      </c>
      <c r="F17" s="39">
        <f>4.7+5+0.57+2.96+6.97</f>
        <v>20.2</v>
      </c>
      <c r="G17" s="33">
        <f t="shared" si="0"/>
        <v>20.2</v>
      </c>
    </row>
    <row r="18" spans="1:9" x14ac:dyDescent="0.45">
      <c r="A18" s="25"/>
      <c r="B18" s="25" t="s">
        <v>22</v>
      </c>
      <c r="C18" s="25"/>
      <c r="D18" s="40">
        <v>0.1</v>
      </c>
      <c r="E18" s="27" t="s">
        <v>23</v>
      </c>
      <c r="F18" s="41">
        <v>12</v>
      </c>
      <c r="G18" s="33">
        <f t="shared" si="0"/>
        <v>1.2000000000000002</v>
      </c>
    </row>
    <row r="19" spans="1:9" x14ac:dyDescent="0.45">
      <c r="A19" s="25"/>
      <c r="B19" s="25" t="s">
        <v>24</v>
      </c>
      <c r="C19" s="25"/>
      <c r="D19" s="25">
        <v>1</v>
      </c>
      <c r="E19" s="27" t="s">
        <v>8</v>
      </c>
      <c r="F19" s="39">
        <v>0</v>
      </c>
      <c r="G19" s="33">
        <f t="shared" si="0"/>
        <v>0</v>
      </c>
    </row>
    <row r="20" spans="1:9" x14ac:dyDescent="0.45">
      <c r="A20" s="25"/>
      <c r="B20" s="25" t="s">
        <v>25</v>
      </c>
      <c r="C20" s="25"/>
      <c r="D20" s="25">
        <v>1</v>
      </c>
      <c r="E20" s="27" t="s">
        <v>8</v>
      </c>
      <c r="F20" s="39">
        <v>0</v>
      </c>
      <c r="G20" s="33">
        <f t="shared" si="0"/>
        <v>0</v>
      </c>
    </row>
    <row r="21" spans="1:9" ht="14.65" thickBot="1" x14ac:dyDescent="0.5">
      <c r="A21" s="25"/>
      <c r="B21" s="25" t="s">
        <v>26</v>
      </c>
      <c r="C21" s="25"/>
      <c r="D21" s="25"/>
      <c r="E21" s="25"/>
      <c r="F21" s="78">
        <f>+Assumptions!C3</f>
        <v>6.5000000000000002E-2</v>
      </c>
      <c r="G21" s="43">
        <f>+SUM(G10:G20)*F21/12*6</f>
        <v>3.9696540000000002</v>
      </c>
      <c r="I21" s="5"/>
    </row>
    <row r="22" spans="1:9" x14ac:dyDescent="0.45">
      <c r="A22" s="25"/>
      <c r="B22" s="25"/>
      <c r="C22" s="25"/>
      <c r="D22" s="25"/>
      <c r="E22" s="25"/>
      <c r="F22" s="25"/>
      <c r="G22" s="33">
        <f>SUM(G10:G21)</f>
        <v>126.11285400000001</v>
      </c>
    </row>
    <row r="23" spans="1:9" x14ac:dyDescent="0.45">
      <c r="A23" s="25" t="s">
        <v>27</v>
      </c>
      <c r="B23" s="25"/>
      <c r="C23" s="25"/>
      <c r="D23" s="25"/>
      <c r="E23" s="25"/>
      <c r="F23" s="25"/>
      <c r="G23" s="25"/>
    </row>
    <row r="24" spans="1:9" x14ac:dyDescent="0.45">
      <c r="A24" s="25"/>
      <c r="B24" s="25" t="s">
        <v>28</v>
      </c>
      <c r="C24" s="25"/>
      <c r="D24" s="25">
        <v>1</v>
      </c>
      <c r="E24" s="25" t="s">
        <v>8</v>
      </c>
      <c r="F24" s="39">
        <f>24+2.5+D3*0.24</f>
        <v>33.700000000000003</v>
      </c>
      <c r="G24" s="33">
        <f>+D24*F24</f>
        <v>33.700000000000003</v>
      </c>
    </row>
    <row r="25" spans="1:9" x14ac:dyDescent="0.45">
      <c r="A25" s="25"/>
      <c r="B25" s="25" t="s">
        <v>29</v>
      </c>
      <c r="C25" s="25"/>
      <c r="D25" s="25"/>
      <c r="E25" s="25"/>
      <c r="F25" s="44"/>
      <c r="G25" s="25"/>
    </row>
    <row r="26" spans="1:9" ht="14.65" thickBot="1" x14ac:dyDescent="0.5">
      <c r="A26" s="25"/>
      <c r="B26" s="25"/>
      <c r="C26" s="25" t="s">
        <v>30</v>
      </c>
      <c r="D26" s="25">
        <v>1</v>
      </c>
      <c r="E26" s="25" t="s">
        <v>8</v>
      </c>
      <c r="F26" s="39">
        <v>0</v>
      </c>
      <c r="G26" s="43">
        <f>+D26*F26</f>
        <v>0</v>
      </c>
    </row>
    <row r="27" spans="1:9" ht="14.65" thickBot="1" x14ac:dyDescent="0.5">
      <c r="A27" s="25"/>
      <c r="B27" s="25"/>
      <c r="C27" s="25"/>
      <c r="D27" s="25" t="s">
        <v>31</v>
      </c>
      <c r="E27" s="25"/>
      <c r="F27" s="44"/>
      <c r="G27" s="45">
        <f>+G24+G26</f>
        <v>33.700000000000003</v>
      </c>
    </row>
    <row r="28" spans="1:9" ht="14.65" thickTop="1" x14ac:dyDescent="0.45">
      <c r="A28" s="25"/>
      <c r="B28" s="25"/>
      <c r="C28" s="25"/>
      <c r="D28" s="25"/>
      <c r="E28" s="25"/>
      <c r="F28" s="44"/>
      <c r="G28" s="25"/>
    </row>
    <row r="29" spans="1:9" ht="14.65" thickBot="1" x14ac:dyDescent="0.5">
      <c r="A29" s="25" t="s">
        <v>32</v>
      </c>
      <c r="B29" s="25"/>
      <c r="C29" s="25"/>
      <c r="D29" s="25">
        <v>1</v>
      </c>
      <c r="E29" s="25" t="s">
        <v>8</v>
      </c>
      <c r="F29" s="39">
        <v>0</v>
      </c>
      <c r="G29" s="46">
        <f>+D29*F29</f>
        <v>0</v>
      </c>
    </row>
    <row r="30" spans="1:9" ht="14.65" thickTop="1" x14ac:dyDescent="0.45">
      <c r="A30" s="25"/>
      <c r="B30" s="25"/>
      <c r="C30" s="25"/>
      <c r="D30" s="25"/>
      <c r="E30" s="25"/>
      <c r="F30" s="25"/>
      <c r="G30" s="25"/>
    </row>
    <row r="31" spans="1:9" ht="14.65" thickBot="1" x14ac:dyDescent="0.5">
      <c r="A31" s="25" t="s">
        <v>33</v>
      </c>
      <c r="B31" s="25"/>
      <c r="C31" s="25"/>
      <c r="D31" s="25"/>
      <c r="E31" s="25"/>
      <c r="F31" s="25"/>
      <c r="G31" s="36">
        <f>+G22+G27+G29</f>
        <v>159.81285400000002</v>
      </c>
    </row>
    <row r="32" spans="1:9" ht="14.65" thickTop="1" x14ac:dyDescent="0.45">
      <c r="A32" s="25"/>
      <c r="B32" s="25"/>
      <c r="C32" s="25"/>
      <c r="D32" s="25"/>
      <c r="E32" s="25"/>
      <c r="F32" s="25"/>
      <c r="G32" s="25"/>
    </row>
    <row r="33" spans="1:7" x14ac:dyDescent="0.45">
      <c r="A33" s="25" t="s">
        <v>34</v>
      </c>
      <c r="B33" s="25"/>
      <c r="C33" s="25"/>
      <c r="D33" s="25"/>
      <c r="E33" s="25"/>
      <c r="F33" s="25"/>
      <c r="G33" s="33">
        <f>+G7-G31</f>
        <v>23.974645999999979</v>
      </c>
    </row>
    <row r="34" spans="1:7" x14ac:dyDescent="0.45">
      <c r="A34" s="25"/>
      <c r="B34" s="25" t="s">
        <v>35</v>
      </c>
      <c r="C34" s="25"/>
      <c r="D34" s="25"/>
      <c r="E34" s="25" t="s">
        <v>6</v>
      </c>
      <c r="F34" s="47">
        <f>IF(D3=0,"n/a",(G31-G4-G5-G6)/D3)</f>
        <v>3.800845133333334</v>
      </c>
      <c r="G34" s="25"/>
    </row>
    <row r="35" spans="1:7" x14ac:dyDescent="0.45">
      <c r="A35" s="25"/>
      <c r="B35" s="25"/>
      <c r="C35" s="25"/>
      <c r="D35" s="25"/>
      <c r="E35" s="25"/>
      <c r="F35" s="25"/>
      <c r="G35" s="25"/>
    </row>
    <row r="36" spans="1:7" x14ac:dyDescent="0.45">
      <c r="A36" s="28" t="s">
        <v>36</v>
      </c>
      <c r="B36" s="28"/>
      <c r="C36" s="28"/>
      <c r="D36" s="28" t="s">
        <v>1</v>
      </c>
      <c r="E36" s="28" t="s">
        <v>2</v>
      </c>
      <c r="F36" s="28" t="s">
        <v>3</v>
      </c>
      <c r="G36" s="28" t="s">
        <v>4</v>
      </c>
    </row>
    <row r="37" spans="1:7" x14ac:dyDescent="0.45">
      <c r="A37" s="25"/>
      <c r="B37" s="25" t="s">
        <v>37</v>
      </c>
      <c r="C37" s="25"/>
      <c r="D37" s="25">
        <v>1</v>
      </c>
      <c r="E37" s="25" t="s">
        <v>8</v>
      </c>
      <c r="F37" s="39">
        <f>+'Wheat Grain'!F37</f>
        <v>11.74</v>
      </c>
      <c r="G37" s="33">
        <f>D37*F37</f>
        <v>11.74</v>
      </c>
    </row>
    <row r="38" spans="1:7" x14ac:dyDescent="0.45">
      <c r="A38" s="25"/>
      <c r="B38" s="25" t="s">
        <v>38</v>
      </c>
      <c r="C38" s="25"/>
      <c r="D38" s="25">
        <v>1</v>
      </c>
      <c r="E38" s="25" t="s">
        <v>8</v>
      </c>
      <c r="F38" s="39">
        <f>+'Wheat Grain'!F38</f>
        <v>0</v>
      </c>
      <c r="G38" s="33">
        <f t="shared" ref="G38:G45" si="1">D38*F38</f>
        <v>0</v>
      </c>
    </row>
    <row r="39" spans="1:7" x14ac:dyDescent="0.45">
      <c r="A39" s="25"/>
      <c r="B39" s="25" t="s">
        <v>39</v>
      </c>
      <c r="C39" s="25"/>
      <c r="D39" s="25">
        <v>1</v>
      </c>
      <c r="E39" s="25" t="s">
        <v>8</v>
      </c>
      <c r="F39" s="39">
        <f>+'Wheat Grain'!F39</f>
        <v>0</v>
      </c>
      <c r="G39" s="33">
        <f t="shared" si="1"/>
        <v>0</v>
      </c>
    </row>
    <row r="40" spans="1:7" x14ac:dyDescent="0.45">
      <c r="A40" s="25"/>
      <c r="B40" s="25" t="s">
        <v>40</v>
      </c>
      <c r="C40" s="25"/>
      <c r="D40" s="25">
        <v>1</v>
      </c>
      <c r="E40" s="25" t="s">
        <v>8</v>
      </c>
      <c r="F40" s="39">
        <f>+'Wheat Grain'!F40</f>
        <v>30</v>
      </c>
      <c r="G40" s="33">
        <f t="shared" si="1"/>
        <v>30</v>
      </c>
    </row>
    <row r="41" spans="1:7" x14ac:dyDescent="0.45">
      <c r="A41" s="25"/>
      <c r="B41" s="25" t="s">
        <v>41</v>
      </c>
      <c r="C41" s="25"/>
      <c r="D41" s="25">
        <v>1</v>
      </c>
      <c r="E41" s="25" t="s">
        <v>8</v>
      </c>
      <c r="F41" s="39">
        <f>+'Wheat Grain'!F41</f>
        <v>0</v>
      </c>
      <c r="G41" s="33">
        <f t="shared" si="1"/>
        <v>0</v>
      </c>
    </row>
    <row r="42" spans="1:7" x14ac:dyDescent="0.45">
      <c r="A42" s="25"/>
      <c r="B42" s="25" t="s">
        <v>42</v>
      </c>
      <c r="C42" s="25"/>
      <c r="D42" s="25">
        <v>1</v>
      </c>
      <c r="E42" s="25" t="s">
        <v>8</v>
      </c>
      <c r="F42" s="39">
        <f>+'Wheat Grain'!F42</f>
        <v>3.5</v>
      </c>
      <c r="G42" s="33">
        <f t="shared" si="1"/>
        <v>3.5</v>
      </c>
    </row>
    <row r="43" spans="1:7" x14ac:dyDescent="0.45">
      <c r="A43" s="25"/>
      <c r="B43" s="34" t="s">
        <v>43</v>
      </c>
      <c r="C43" s="34"/>
      <c r="D43" s="34">
        <v>1</v>
      </c>
      <c r="E43" s="34" t="s">
        <v>8</v>
      </c>
      <c r="F43" s="39">
        <f>+'Wheat Grain'!F43</f>
        <v>0</v>
      </c>
      <c r="G43" s="33">
        <f t="shared" si="1"/>
        <v>0</v>
      </c>
    </row>
    <row r="44" spans="1:7" x14ac:dyDescent="0.45">
      <c r="A44" s="25"/>
      <c r="B44" s="34" t="s">
        <v>43</v>
      </c>
      <c r="C44" s="34"/>
      <c r="D44" s="34">
        <v>1</v>
      </c>
      <c r="E44" s="34" t="s">
        <v>8</v>
      </c>
      <c r="F44" s="39">
        <f>+'Wheat Graze Out'!F44</f>
        <v>0</v>
      </c>
      <c r="G44" s="33">
        <f t="shared" si="1"/>
        <v>0</v>
      </c>
    </row>
    <row r="45" spans="1:7" ht="14.65" thickBot="1" x14ac:dyDescent="0.5">
      <c r="A45" s="25"/>
      <c r="B45" s="34" t="s">
        <v>43</v>
      </c>
      <c r="C45" s="34"/>
      <c r="D45" s="34">
        <v>1</v>
      </c>
      <c r="E45" s="34" t="s">
        <v>8</v>
      </c>
      <c r="F45" s="39">
        <f>+'Wheat Graze Out'!F45</f>
        <v>0</v>
      </c>
      <c r="G45" s="36">
        <f t="shared" si="1"/>
        <v>0</v>
      </c>
    </row>
    <row r="46" spans="1:7" ht="14.65" thickTop="1" x14ac:dyDescent="0.45">
      <c r="A46" s="25"/>
      <c r="B46" s="25"/>
      <c r="C46" s="25"/>
      <c r="D46" s="25"/>
      <c r="E46" s="25"/>
      <c r="F46" s="25"/>
      <c r="G46" s="25"/>
    </row>
    <row r="47" spans="1:7" ht="14.65" thickBot="1" x14ac:dyDescent="0.5">
      <c r="A47" s="25" t="s">
        <v>44</v>
      </c>
      <c r="B47" s="25"/>
      <c r="C47" s="25"/>
      <c r="D47" s="25"/>
      <c r="E47" s="25"/>
      <c r="F47" s="25"/>
      <c r="G47" s="36">
        <f>SUM(G37:G45)</f>
        <v>45.24</v>
      </c>
    </row>
    <row r="48" spans="1:7" ht="14.65" thickTop="1" x14ac:dyDescent="0.45">
      <c r="A48" s="25"/>
      <c r="B48" s="25"/>
      <c r="C48" s="25"/>
      <c r="D48" s="25"/>
      <c r="E48" s="25"/>
      <c r="F48" s="25"/>
      <c r="G48" s="25"/>
    </row>
    <row r="49" spans="1:7" ht="14.65" thickBot="1" x14ac:dyDescent="0.5">
      <c r="A49" s="25" t="s">
        <v>45</v>
      </c>
      <c r="B49" s="25"/>
      <c r="C49" s="25"/>
      <c r="D49" s="25"/>
      <c r="E49" s="25"/>
      <c r="F49" s="25"/>
      <c r="G49" s="36">
        <f>+G31+G47</f>
        <v>205.05285400000002</v>
      </c>
    </row>
    <row r="50" spans="1:7" ht="14.65" thickTop="1" x14ac:dyDescent="0.45">
      <c r="A50" s="25"/>
      <c r="B50" s="25"/>
      <c r="C50" s="25"/>
      <c r="D50" s="25"/>
      <c r="E50" s="25"/>
      <c r="F50" s="25"/>
      <c r="G50" s="25"/>
    </row>
    <row r="51" spans="1:7" x14ac:dyDescent="0.45">
      <c r="A51" s="25" t="s">
        <v>46</v>
      </c>
      <c r="B51" s="25"/>
      <c r="C51" s="25"/>
      <c r="D51" s="25"/>
      <c r="E51" s="25"/>
      <c r="F51" s="25"/>
      <c r="G51" s="33">
        <f>+G7-G49</f>
        <v>-21.265354000000031</v>
      </c>
    </row>
    <row r="52" spans="1:7" ht="14.65" thickBot="1" x14ac:dyDescent="0.5">
      <c r="A52" s="48" t="s">
        <v>47</v>
      </c>
      <c r="B52" s="48"/>
      <c r="C52" s="48"/>
      <c r="D52" s="48"/>
      <c r="E52" s="48" t="s">
        <v>6</v>
      </c>
      <c r="F52" s="49">
        <f>IF(D3=0,"n/a",(G49-G4-G5-G6)/D3)</f>
        <v>5.3088451333333344</v>
      </c>
      <c r="G52" s="48"/>
    </row>
    <row r="53" spans="1:7" ht="14.65" thickTop="1" x14ac:dyDescent="0.45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94E89-E500-4B3F-ACD2-9391B37D732C}">
  <dimension ref="A1:Q53"/>
  <sheetViews>
    <sheetView topLeftCell="A18" zoomScaleNormal="100" workbookViewId="0">
      <selection activeCell="B1" sqref="B1"/>
    </sheetView>
  </sheetViews>
  <sheetFormatPr defaultRowHeight="14.25" x14ac:dyDescent="0.45"/>
  <cols>
    <col min="1" max="2" width="3" style="1" customWidth="1"/>
    <col min="3" max="3" width="27.1328125" style="1" customWidth="1"/>
    <col min="4" max="7" width="10.1328125" style="1" customWidth="1"/>
    <col min="8" max="8" width="11.46484375" style="1" bestFit="1" customWidth="1"/>
    <col min="9" max="11" width="9.1328125" style="1"/>
    <col min="12" max="12" width="11.73046875" style="1" bestFit="1" customWidth="1"/>
    <col min="13" max="246" width="9.1328125" style="1"/>
    <col min="247" max="248" width="3" style="1" customWidth="1"/>
    <col min="249" max="249" width="27.1328125" style="1" customWidth="1"/>
    <col min="250" max="254" width="10.1328125" style="1" customWidth="1"/>
    <col min="255" max="502" width="9.1328125" style="1"/>
    <col min="503" max="504" width="3" style="1" customWidth="1"/>
    <col min="505" max="505" width="27.1328125" style="1" customWidth="1"/>
    <col min="506" max="510" width="10.1328125" style="1" customWidth="1"/>
    <col min="511" max="758" width="9.1328125" style="1"/>
    <col min="759" max="760" width="3" style="1" customWidth="1"/>
    <col min="761" max="761" width="27.1328125" style="1" customWidth="1"/>
    <col min="762" max="766" width="10.1328125" style="1" customWidth="1"/>
    <col min="767" max="1014" width="9.1328125" style="1"/>
    <col min="1015" max="1016" width="3" style="1" customWidth="1"/>
    <col min="1017" max="1017" width="27.1328125" style="1" customWidth="1"/>
    <col min="1018" max="1022" width="10.1328125" style="1" customWidth="1"/>
    <col min="1023" max="1270" width="9.1328125" style="1"/>
    <col min="1271" max="1272" width="3" style="1" customWidth="1"/>
    <col min="1273" max="1273" width="27.1328125" style="1" customWidth="1"/>
    <col min="1274" max="1278" width="10.1328125" style="1" customWidth="1"/>
    <col min="1279" max="1526" width="9.1328125" style="1"/>
    <col min="1527" max="1528" width="3" style="1" customWidth="1"/>
    <col min="1529" max="1529" width="27.1328125" style="1" customWidth="1"/>
    <col min="1530" max="1534" width="10.1328125" style="1" customWidth="1"/>
    <col min="1535" max="1782" width="9.1328125" style="1"/>
    <col min="1783" max="1784" width="3" style="1" customWidth="1"/>
    <col min="1785" max="1785" width="27.1328125" style="1" customWidth="1"/>
    <col min="1786" max="1790" width="10.1328125" style="1" customWidth="1"/>
    <col min="1791" max="2038" width="9.1328125" style="1"/>
    <col min="2039" max="2040" width="3" style="1" customWidth="1"/>
    <col min="2041" max="2041" width="27.1328125" style="1" customWidth="1"/>
    <col min="2042" max="2046" width="10.1328125" style="1" customWidth="1"/>
    <col min="2047" max="2294" width="9.1328125" style="1"/>
    <col min="2295" max="2296" width="3" style="1" customWidth="1"/>
    <col min="2297" max="2297" width="27.1328125" style="1" customWidth="1"/>
    <col min="2298" max="2302" width="10.1328125" style="1" customWidth="1"/>
    <col min="2303" max="2550" width="9.1328125" style="1"/>
    <col min="2551" max="2552" width="3" style="1" customWidth="1"/>
    <col min="2553" max="2553" width="27.1328125" style="1" customWidth="1"/>
    <col min="2554" max="2558" width="10.1328125" style="1" customWidth="1"/>
    <col min="2559" max="2806" width="9.1328125" style="1"/>
    <col min="2807" max="2808" width="3" style="1" customWidth="1"/>
    <col min="2809" max="2809" width="27.1328125" style="1" customWidth="1"/>
    <col min="2810" max="2814" width="10.1328125" style="1" customWidth="1"/>
    <col min="2815" max="3062" width="9.1328125" style="1"/>
    <col min="3063" max="3064" width="3" style="1" customWidth="1"/>
    <col min="3065" max="3065" width="27.1328125" style="1" customWidth="1"/>
    <col min="3066" max="3070" width="10.1328125" style="1" customWidth="1"/>
    <col min="3071" max="3318" width="9.1328125" style="1"/>
    <col min="3319" max="3320" width="3" style="1" customWidth="1"/>
    <col min="3321" max="3321" width="27.1328125" style="1" customWidth="1"/>
    <col min="3322" max="3326" width="10.1328125" style="1" customWidth="1"/>
    <col min="3327" max="3574" width="9.1328125" style="1"/>
    <col min="3575" max="3576" width="3" style="1" customWidth="1"/>
    <col min="3577" max="3577" width="27.1328125" style="1" customWidth="1"/>
    <col min="3578" max="3582" width="10.1328125" style="1" customWidth="1"/>
    <col min="3583" max="3830" width="9.1328125" style="1"/>
    <col min="3831" max="3832" width="3" style="1" customWidth="1"/>
    <col min="3833" max="3833" width="27.1328125" style="1" customWidth="1"/>
    <col min="3834" max="3838" width="10.1328125" style="1" customWidth="1"/>
    <col min="3839" max="4086" width="9.1328125" style="1"/>
    <col min="4087" max="4088" width="3" style="1" customWidth="1"/>
    <col min="4089" max="4089" width="27.1328125" style="1" customWidth="1"/>
    <col min="4090" max="4094" width="10.1328125" style="1" customWidth="1"/>
    <col min="4095" max="4342" width="9.1328125" style="1"/>
    <col min="4343" max="4344" width="3" style="1" customWidth="1"/>
    <col min="4345" max="4345" width="27.1328125" style="1" customWidth="1"/>
    <col min="4346" max="4350" width="10.1328125" style="1" customWidth="1"/>
    <col min="4351" max="4598" width="9.1328125" style="1"/>
    <col min="4599" max="4600" width="3" style="1" customWidth="1"/>
    <col min="4601" max="4601" width="27.1328125" style="1" customWidth="1"/>
    <col min="4602" max="4606" width="10.1328125" style="1" customWidth="1"/>
    <col min="4607" max="4854" width="9.1328125" style="1"/>
    <col min="4855" max="4856" width="3" style="1" customWidth="1"/>
    <col min="4857" max="4857" width="27.1328125" style="1" customWidth="1"/>
    <col min="4858" max="4862" width="10.1328125" style="1" customWidth="1"/>
    <col min="4863" max="5110" width="9.1328125" style="1"/>
    <col min="5111" max="5112" width="3" style="1" customWidth="1"/>
    <col min="5113" max="5113" width="27.1328125" style="1" customWidth="1"/>
    <col min="5114" max="5118" width="10.1328125" style="1" customWidth="1"/>
    <col min="5119" max="5366" width="9.1328125" style="1"/>
    <col min="5367" max="5368" width="3" style="1" customWidth="1"/>
    <col min="5369" max="5369" width="27.1328125" style="1" customWidth="1"/>
    <col min="5370" max="5374" width="10.1328125" style="1" customWidth="1"/>
    <col min="5375" max="5622" width="9.1328125" style="1"/>
    <col min="5623" max="5624" width="3" style="1" customWidth="1"/>
    <col min="5625" max="5625" width="27.1328125" style="1" customWidth="1"/>
    <col min="5626" max="5630" width="10.1328125" style="1" customWidth="1"/>
    <col min="5631" max="5878" width="9.1328125" style="1"/>
    <col min="5879" max="5880" width="3" style="1" customWidth="1"/>
    <col min="5881" max="5881" width="27.1328125" style="1" customWidth="1"/>
    <col min="5882" max="5886" width="10.1328125" style="1" customWidth="1"/>
    <col min="5887" max="6134" width="9.1328125" style="1"/>
    <col min="6135" max="6136" width="3" style="1" customWidth="1"/>
    <col min="6137" max="6137" width="27.1328125" style="1" customWidth="1"/>
    <col min="6138" max="6142" width="10.1328125" style="1" customWidth="1"/>
    <col min="6143" max="6390" width="9.1328125" style="1"/>
    <col min="6391" max="6392" width="3" style="1" customWidth="1"/>
    <col min="6393" max="6393" width="27.1328125" style="1" customWidth="1"/>
    <col min="6394" max="6398" width="10.1328125" style="1" customWidth="1"/>
    <col min="6399" max="6646" width="9.1328125" style="1"/>
    <col min="6647" max="6648" width="3" style="1" customWidth="1"/>
    <col min="6649" max="6649" width="27.1328125" style="1" customWidth="1"/>
    <col min="6650" max="6654" width="10.1328125" style="1" customWidth="1"/>
    <col min="6655" max="6902" width="9.1328125" style="1"/>
    <col min="6903" max="6904" width="3" style="1" customWidth="1"/>
    <col min="6905" max="6905" width="27.1328125" style="1" customWidth="1"/>
    <col min="6906" max="6910" width="10.1328125" style="1" customWidth="1"/>
    <col min="6911" max="7158" width="9.1328125" style="1"/>
    <col min="7159" max="7160" width="3" style="1" customWidth="1"/>
    <col min="7161" max="7161" width="27.1328125" style="1" customWidth="1"/>
    <col min="7162" max="7166" width="10.1328125" style="1" customWidth="1"/>
    <col min="7167" max="7414" width="9.1328125" style="1"/>
    <col min="7415" max="7416" width="3" style="1" customWidth="1"/>
    <col min="7417" max="7417" width="27.1328125" style="1" customWidth="1"/>
    <col min="7418" max="7422" width="10.1328125" style="1" customWidth="1"/>
    <col min="7423" max="7670" width="9.1328125" style="1"/>
    <col min="7671" max="7672" width="3" style="1" customWidth="1"/>
    <col min="7673" max="7673" width="27.1328125" style="1" customWidth="1"/>
    <col min="7674" max="7678" width="10.1328125" style="1" customWidth="1"/>
    <col min="7679" max="7926" width="9.1328125" style="1"/>
    <col min="7927" max="7928" width="3" style="1" customWidth="1"/>
    <col min="7929" max="7929" width="27.1328125" style="1" customWidth="1"/>
    <col min="7930" max="7934" width="10.1328125" style="1" customWidth="1"/>
    <col min="7935" max="8182" width="9.1328125" style="1"/>
    <col min="8183" max="8184" width="3" style="1" customWidth="1"/>
    <col min="8185" max="8185" width="27.1328125" style="1" customWidth="1"/>
    <col min="8186" max="8190" width="10.1328125" style="1" customWidth="1"/>
    <col min="8191" max="8438" width="9.1328125" style="1"/>
    <col min="8439" max="8440" width="3" style="1" customWidth="1"/>
    <col min="8441" max="8441" width="27.1328125" style="1" customWidth="1"/>
    <col min="8442" max="8446" width="10.1328125" style="1" customWidth="1"/>
    <col min="8447" max="8694" width="9.1328125" style="1"/>
    <col min="8695" max="8696" width="3" style="1" customWidth="1"/>
    <col min="8697" max="8697" width="27.1328125" style="1" customWidth="1"/>
    <col min="8698" max="8702" width="10.1328125" style="1" customWidth="1"/>
    <col min="8703" max="8950" width="9.1328125" style="1"/>
    <col min="8951" max="8952" width="3" style="1" customWidth="1"/>
    <col min="8953" max="8953" width="27.1328125" style="1" customWidth="1"/>
    <col min="8954" max="8958" width="10.1328125" style="1" customWidth="1"/>
    <col min="8959" max="9206" width="9.1328125" style="1"/>
    <col min="9207" max="9208" width="3" style="1" customWidth="1"/>
    <col min="9209" max="9209" width="27.1328125" style="1" customWidth="1"/>
    <col min="9210" max="9214" width="10.1328125" style="1" customWidth="1"/>
    <col min="9215" max="9462" width="9.1328125" style="1"/>
    <col min="9463" max="9464" width="3" style="1" customWidth="1"/>
    <col min="9465" max="9465" width="27.1328125" style="1" customWidth="1"/>
    <col min="9466" max="9470" width="10.1328125" style="1" customWidth="1"/>
    <col min="9471" max="9718" width="9.1328125" style="1"/>
    <col min="9719" max="9720" width="3" style="1" customWidth="1"/>
    <col min="9721" max="9721" width="27.1328125" style="1" customWidth="1"/>
    <col min="9722" max="9726" width="10.1328125" style="1" customWidth="1"/>
    <col min="9727" max="9974" width="9.1328125" style="1"/>
    <col min="9975" max="9976" width="3" style="1" customWidth="1"/>
    <col min="9977" max="9977" width="27.1328125" style="1" customWidth="1"/>
    <col min="9978" max="9982" width="10.1328125" style="1" customWidth="1"/>
    <col min="9983" max="10230" width="9.1328125" style="1"/>
    <col min="10231" max="10232" width="3" style="1" customWidth="1"/>
    <col min="10233" max="10233" width="27.1328125" style="1" customWidth="1"/>
    <col min="10234" max="10238" width="10.1328125" style="1" customWidth="1"/>
    <col min="10239" max="10486" width="9.1328125" style="1"/>
    <col min="10487" max="10488" width="3" style="1" customWidth="1"/>
    <col min="10489" max="10489" width="27.1328125" style="1" customWidth="1"/>
    <col min="10490" max="10494" width="10.1328125" style="1" customWidth="1"/>
    <col min="10495" max="10742" width="9.1328125" style="1"/>
    <col min="10743" max="10744" width="3" style="1" customWidth="1"/>
    <col min="10745" max="10745" width="27.1328125" style="1" customWidth="1"/>
    <col min="10746" max="10750" width="10.1328125" style="1" customWidth="1"/>
    <col min="10751" max="10998" width="9.1328125" style="1"/>
    <col min="10999" max="11000" width="3" style="1" customWidth="1"/>
    <col min="11001" max="11001" width="27.1328125" style="1" customWidth="1"/>
    <col min="11002" max="11006" width="10.1328125" style="1" customWidth="1"/>
    <col min="11007" max="11254" width="9.1328125" style="1"/>
    <col min="11255" max="11256" width="3" style="1" customWidth="1"/>
    <col min="11257" max="11257" width="27.1328125" style="1" customWidth="1"/>
    <col min="11258" max="11262" width="10.1328125" style="1" customWidth="1"/>
    <col min="11263" max="11510" width="9.1328125" style="1"/>
    <col min="11511" max="11512" width="3" style="1" customWidth="1"/>
    <col min="11513" max="11513" width="27.1328125" style="1" customWidth="1"/>
    <col min="11514" max="11518" width="10.1328125" style="1" customWidth="1"/>
    <col min="11519" max="11766" width="9.1328125" style="1"/>
    <col min="11767" max="11768" width="3" style="1" customWidth="1"/>
    <col min="11769" max="11769" width="27.1328125" style="1" customWidth="1"/>
    <col min="11770" max="11774" width="10.1328125" style="1" customWidth="1"/>
    <col min="11775" max="12022" width="9.1328125" style="1"/>
    <col min="12023" max="12024" width="3" style="1" customWidth="1"/>
    <col min="12025" max="12025" width="27.1328125" style="1" customWidth="1"/>
    <col min="12026" max="12030" width="10.1328125" style="1" customWidth="1"/>
    <col min="12031" max="12278" width="9.1328125" style="1"/>
    <col min="12279" max="12280" width="3" style="1" customWidth="1"/>
    <col min="12281" max="12281" width="27.1328125" style="1" customWidth="1"/>
    <col min="12282" max="12286" width="10.1328125" style="1" customWidth="1"/>
    <col min="12287" max="12534" width="9.1328125" style="1"/>
    <col min="12535" max="12536" width="3" style="1" customWidth="1"/>
    <col min="12537" max="12537" width="27.1328125" style="1" customWidth="1"/>
    <col min="12538" max="12542" width="10.1328125" style="1" customWidth="1"/>
    <col min="12543" max="12790" width="9.1328125" style="1"/>
    <col min="12791" max="12792" width="3" style="1" customWidth="1"/>
    <col min="12793" max="12793" width="27.1328125" style="1" customWidth="1"/>
    <col min="12794" max="12798" width="10.1328125" style="1" customWidth="1"/>
    <col min="12799" max="13046" width="9.1328125" style="1"/>
    <col min="13047" max="13048" width="3" style="1" customWidth="1"/>
    <col min="13049" max="13049" width="27.1328125" style="1" customWidth="1"/>
    <col min="13050" max="13054" width="10.1328125" style="1" customWidth="1"/>
    <col min="13055" max="13302" width="9.1328125" style="1"/>
    <col min="13303" max="13304" width="3" style="1" customWidth="1"/>
    <col min="13305" max="13305" width="27.1328125" style="1" customWidth="1"/>
    <col min="13306" max="13310" width="10.1328125" style="1" customWidth="1"/>
    <col min="13311" max="13558" width="9.1328125" style="1"/>
    <col min="13559" max="13560" width="3" style="1" customWidth="1"/>
    <col min="13561" max="13561" width="27.1328125" style="1" customWidth="1"/>
    <col min="13562" max="13566" width="10.1328125" style="1" customWidth="1"/>
    <col min="13567" max="13814" width="9.1328125" style="1"/>
    <col min="13815" max="13816" width="3" style="1" customWidth="1"/>
    <col min="13817" max="13817" width="27.1328125" style="1" customWidth="1"/>
    <col min="13818" max="13822" width="10.1328125" style="1" customWidth="1"/>
    <col min="13823" max="14070" width="9.1328125" style="1"/>
    <col min="14071" max="14072" width="3" style="1" customWidth="1"/>
    <col min="14073" max="14073" width="27.1328125" style="1" customWidth="1"/>
    <col min="14074" max="14078" width="10.1328125" style="1" customWidth="1"/>
    <col min="14079" max="14326" width="9.1328125" style="1"/>
    <col min="14327" max="14328" width="3" style="1" customWidth="1"/>
    <col min="14329" max="14329" width="27.1328125" style="1" customWidth="1"/>
    <col min="14330" max="14334" width="10.1328125" style="1" customWidth="1"/>
    <col min="14335" max="14582" width="9.1328125" style="1"/>
    <col min="14583" max="14584" width="3" style="1" customWidth="1"/>
    <col min="14585" max="14585" width="27.1328125" style="1" customWidth="1"/>
    <col min="14586" max="14590" width="10.1328125" style="1" customWidth="1"/>
    <col min="14591" max="14838" width="9.1328125" style="1"/>
    <col min="14839" max="14840" width="3" style="1" customWidth="1"/>
    <col min="14841" max="14841" width="27.1328125" style="1" customWidth="1"/>
    <col min="14842" max="14846" width="10.1328125" style="1" customWidth="1"/>
    <col min="14847" max="15094" width="9.1328125" style="1"/>
    <col min="15095" max="15096" width="3" style="1" customWidth="1"/>
    <col min="15097" max="15097" width="27.1328125" style="1" customWidth="1"/>
    <col min="15098" max="15102" width="10.1328125" style="1" customWidth="1"/>
    <col min="15103" max="15350" width="9.1328125" style="1"/>
    <col min="15351" max="15352" width="3" style="1" customWidth="1"/>
    <col min="15353" max="15353" width="27.1328125" style="1" customWidth="1"/>
    <col min="15354" max="15358" width="10.1328125" style="1" customWidth="1"/>
    <col min="15359" max="15606" width="9.1328125" style="1"/>
    <col min="15607" max="15608" width="3" style="1" customWidth="1"/>
    <col min="15609" max="15609" width="27.1328125" style="1" customWidth="1"/>
    <col min="15610" max="15614" width="10.1328125" style="1" customWidth="1"/>
    <col min="15615" max="15862" width="9.1328125" style="1"/>
    <col min="15863" max="15864" width="3" style="1" customWidth="1"/>
    <col min="15865" max="15865" width="27.1328125" style="1" customWidth="1"/>
    <col min="15866" max="15870" width="10.1328125" style="1" customWidth="1"/>
    <col min="15871" max="16118" width="9.1328125" style="1"/>
    <col min="16119" max="16120" width="3" style="1" customWidth="1"/>
    <col min="16121" max="16121" width="27.1328125" style="1" customWidth="1"/>
    <col min="16122" max="16126" width="10.1328125" style="1" customWidth="1"/>
    <col min="16127" max="16374" width="9.1328125" style="1"/>
    <col min="16375" max="16384" width="9.1328125" style="1" customWidth="1"/>
  </cols>
  <sheetData>
    <row r="1" spans="1:17" x14ac:dyDescent="0.45">
      <c r="A1" s="25"/>
      <c r="B1" s="26" t="s">
        <v>93</v>
      </c>
      <c r="C1" s="25"/>
      <c r="D1" s="27"/>
      <c r="E1" s="27"/>
      <c r="F1" s="27"/>
      <c r="G1" s="27" t="e">
        <f>+Assumptions!#REF!</f>
        <v>#REF!</v>
      </c>
    </row>
    <row r="2" spans="1:17" x14ac:dyDescent="0.45">
      <c r="A2" s="28" t="s">
        <v>0</v>
      </c>
      <c r="B2" s="28"/>
      <c r="C2" s="28"/>
      <c r="D2" s="29" t="s">
        <v>1</v>
      </c>
      <c r="E2" s="29" t="s">
        <v>2</v>
      </c>
      <c r="F2" s="29" t="s">
        <v>3</v>
      </c>
      <c r="G2" s="29" t="s">
        <v>4</v>
      </c>
      <c r="H2" s="50" t="s">
        <v>70</v>
      </c>
    </row>
    <row r="3" spans="1:17" x14ac:dyDescent="0.45">
      <c r="A3" s="25"/>
      <c r="B3" s="25" t="s">
        <v>5</v>
      </c>
      <c r="C3" s="25"/>
      <c r="D3" s="69">
        <f>+Assumptions!F6</f>
        <v>30</v>
      </c>
      <c r="E3" s="31" t="s">
        <v>113</v>
      </c>
      <c r="F3" s="70">
        <f>+Assumptions!F11</f>
        <v>4.5999999999999996</v>
      </c>
      <c r="G3" s="33">
        <f>D3*F3*H3</f>
        <v>86.25</v>
      </c>
      <c r="H3" s="51">
        <f>1-Q5</f>
        <v>0.625</v>
      </c>
      <c r="J3" s="1" t="s">
        <v>51</v>
      </c>
      <c r="K3" s="1" t="s">
        <v>71</v>
      </c>
      <c r="L3" s="1" t="s">
        <v>48</v>
      </c>
      <c r="M3" s="1" t="s">
        <v>72</v>
      </c>
      <c r="N3" s="1" t="s">
        <v>49</v>
      </c>
      <c r="O3" s="1" t="s">
        <v>53</v>
      </c>
      <c r="P3" s="1" t="s">
        <v>133</v>
      </c>
      <c r="Q3" s="1" t="s">
        <v>134</v>
      </c>
    </row>
    <row r="4" spans="1:17" x14ac:dyDescent="0.45">
      <c r="A4" s="25"/>
      <c r="B4" s="34" t="s">
        <v>55</v>
      </c>
      <c r="C4" s="35"/>
      <c r="D4" s="75">
        <f>+M4</f>
        <v>83.25</v>
      </c>
      <c r="E4" s="31" t="s">
        <v>72</v>
      </c>
      <c r="F4" s="68">
        <f>+N4</f>
        <v>0.55000000000000004</v>
      </c>
      <c r="G4" s="33">
        <f>D4*F4</f>
        <v>45.787500000000001</v>
      </c>
      <c r="J4" s="4">
        <f>+'Wheat Dual  ~700Lb'!J4</f>
        <v>111</v>
      </c>
      <c r="K4" s="1">
        <f>Assumptions!F17</f>
        <v>1.5</v>
      </c>
      <c r="L4" s="1">
        <f>Assumptions!F16</f>
        <v>2</v>
      </c>
      <c r="M4" s="1">
        <f>+J4*K4/L4</f>
        <v>83.25</v>
      </c>
      <c r="N4" s="8">
        <f>+'Wheat Dual  ~700Lb'!N4</f>
        <v>0.55000000000000004</v>
      </c>
      <c r="O4" s="7">
        <f>+N4*M4</f>
        <v>45.787500000000001</v>
      </c>
      <c r="P4" s="1">
        <f>1/L4</f>
        <v>0.5</v>
      </c>
      <c r="Q4" s="51">
        <v>1</v>
      </c>
    </row>
    <row r="5" spans="1:17" x14ac:dyDescent="0.45">
      <c r="A5" s="25"/>
      <c r="B5" s="34" t="s">
        <v>56</v>
      </c>
      <c r="C5" s="35"/>
      <c r="D5" s="75">
        <f>+M5*Q5</f>
        <v>55.225000000000009</v>
      </c>
      <c r="E5" s="31" t="s">
        <v>72</v>
      </c>
      <c r="F5" s="68">
        <f>+N5</f>
        <v>0.55000000000000004</v>
      </c>
      <c r="G5" s="33">
        <f>D5*F5</f>
        <v>30.373750000000008</v>
      </c>
      <c r="J5" s="4">
        <f>+'Wheat Dual  ~700Lb'!J5</f>
        <v>47</v>
      </c>
      <c r="K5" s="1">
        <f>Assumptions!F22</f>
        <v>2.35</v>
      </c>
      <c r="L5" s="1">
        <f>Assumptions!F21</f>
        <v>0.75</v>
      </c>
      <c r="M5" s="7">
        <f>+J5*K5/L5</f>
        <v>147.26666666666668</v>
      </c>
      <c r="N5" s="1">
        <f>N4</f>
        <v>0.55000000000000004</v>
      </c>
      <c r="O5" s="7">
        <f>+N5*M5</f>
        <v>80.996666666666684</v>
      </c>
      <c r="P5" s="7">
        <f>1/L5</f>
        <v>1.3333333333333333</v>
      </c>
      <c r="Q5" s="51">
        <f>+P4/P5</f>
        <v>0.375</v>
      </c>
    </row>
    <row r="6" spans="1:17" ht="14.65" thickBot="1" x14ac:dyDescent="0.5">
      <c r="A6" s="25"/>
      <c r="B6" s="34" t="s">
        <v>7</v>
      </c>
      <c r="C6" s="35"/>
      <c r="D6" s="34">
        <v>1</v>
      </c>
      <c r="E6" s="31" t="s">
        <v>8</v>
      </c>
      <c r="F6" s="32">
        <v>0</v>
      </c>
      <c r="G6" s="36">
        <f>D6*F6</f>
        <v>0</v>
      </c>
    </row>
    <row r="7" spans="1:17" ht="14.65" thickTop="1" x14ac:dyDescent="0.45">
      <c r="A7" s="37" t="s">
        <v>9</v>
      </c>
      <c r="B7" s="37"/>
      <c r="C7" s="37"/>
      <c r="D7" s="37"/>
      <c r="E7" s="37"/>
      <c r="F7" s="37"/>
      <c r="G7" s="38">
        <f>SUM(G3:G6)</f>
        <v>162.41125</v>
      </c>
    </row>
    <row r="8" spans="1:17" x14ac:dyDescent="0.45">
      <c r="A8" s="28" t="s">
        <v>10</v>
      </c>
      <c r="B8" s="28"/>
      <c r="C8" s="28"/>
      <c r="D8" s="28" t="s">
        <v>1</v>
      </c>
      <c r="E8" s="28" t="s">
        <v>2</v>
      </c>
      <c r="F8" s="28" t="s">
        <v>3</v>
      </c>
      <c r="G8" s="28" t="s">
        <v>4</v>
      </c>
    </row>
    <row r="9" spans="1:17" x14ac:dyDescent="0.45">
      <c r="A9" s="25" t="s">
        <v>11</v>
      </c>
      <c r="B9" s="25"/>
      <c r="C9" s="25"/>
      <c r="D9" s="25"/>
      <c r="E9" s="25"/>
      <c r="F9" s="25"/>
      <c r="G9" s="25"/>
    </row>
    <row r="10" spans="1:17" x14ac:dyDescent="0.45">
      <c r="A10" s="25"/>
      <c r="B10" s="25" t="s">
        <v>12</v>
      </c>
      <c r="C10" s="25"/>
      <c r="D10" s="25">
        <v>1</v>
      </c>
      <c r="E10" s="27" t="s">
        <v>8</v>
      </c>
      <c r="F10" s="39">
        <v>8</v>
      </c>
      <c r="G10" s="33">
        <f>D10*F10</f>
        <v>8</v>
      </c>
    </row>
    <row r="11" spans="1:17" x14ac:dyDescent="0.45">
      <c r="A11" s="25"/>
      <c r="B11" s="25" t="s">
        <v>13</v>
      </c>
      <c r="C11" s="25"/>
      <c r="D11" s="25">
        <v>1</v>
      </c>
      <c r="E11" s="27" t="s">
        <v>8</v>
      </c>
      <c r="F11" s="39">
        <f>2.5+48</f>
        <v>50.5</v>
      </c>
      <c r="G11" s="33">
        <f t="shared" ref="G11:G20" si="0">D11*F11</f>
        <v>50.5</v>
      </c>
    </row>
    <row r="12" spans="1:17" x14ac:dyDescent="0.45">
      <c r="A12" s="25"/>
      <c r="B12" s="25" t="s">
        <v>14</v>
      </c>
      <c r="C12" s="25"/>
      <c r="D12" s="25">
        <v>1</v>
      </c>
      <c r="E12" s="27" t="s">
        <v>8</v>
      </c>
      <c r="F12" s="39">
        <v>16</v>
      </c>
      <c r="G12" s="33">
        <f t="shared" si="0"/>
        <v>16</v>
      </c>
    </row>
    <row r="13" spans="1:17" x14ac:dyDescent="0.45">
      <c r="A13" s="25"/>
      <c r="B13" s="25" t="s">
        <v>15</v>
      </c>
      <c r="C13" s="25"/>
      <c r="D13" s="25">
        <v>1</v>
      </c>
      <c r="E13" s="27" t="s">
        <v>8</v>
      </c>
      <c r="F13" s="39">
        <v>0</v>
      </c>
      <c r="G13" s="33">
        <f t="shared" si="0"/>
        <v>0</v>
      </c>
    </row>
    <row r="14" spans="1:17" x14ac:dyDescent="0.45">
      <c r="A14" s="25"/>
      <c r="B14" s="25" t="s">
        <v>16</v>
      </c>
      <c r="C14" s="25"/>
      <c r="D14" s="25">
        <v>1</v>
      </c>
      <c r="E14" s="27" t="s">
        <v>8</v>
      </c>
      <c r="F14" s="39">
        <v>12</v>
      </c>
      <c r="G14" s="33">
        <f t="shared" si="0"/>
        <v>12</v>
      </c>
    </row>
    <row r="15" spans="1:17" x14ac:dyDescent="0.45">
      <c r="A15" s="25"/>
      <c r="B15" s="25" t="s">
        <v>17</v>
      </c>
      <c r="C15" s="25"/>
      <c r="D15" s="40">
        <v>1.96</v>
      </c>
      <c r="E15" s="27" t="s">
        <v>18</v>
      </c>
      <c r="F15" s="41">
        <v>2.2000000000000002</v>
      </c>
      <c r="G15" s="33">
        <f>D15*F15</f>
        <v>4.3120000000000003</v>
      </c>
    </row>
    <row r="16" spans="1:17" x14ac:dyDescent="0.45">
      <c r="A16" s="25"/>
      <c r="B16" s="25" t="s">
        <v>19</v>
      </c>
      <c r="C16" s="25"/>
      <c r="D16" s="42">
        <v>0.1</v>
      </c>
      <c r="E16" s="27" t="s">
        <v>20</v>
      </c>
      <c r="F16" s="39">
        <f>+G15</f>
        <v>4.3120000000000003</v>
      </c>
      <c r="G16" s="33">
        <f t="shared" si="0"/>
        <v>0.43120000000000003</v>
      </c>
    </row>
    <row r="17" spans="1:9" x14ac:dyDescent="0.45">
      <c r="A17" s="25"/>
      <c r="B17" s="25" t="s">
        <v>50</v>
      </c>
      <c r="C17" s="25"/>
      <c r="D17" s="25">
        <v>1</v>
      </c>
      <c r="E17" s="27" t="s">
        <v>8</v>
      </c>
      <c r="F17" s="39">
        <f>4.7+5+0.57+2.96+6.97</f>
        <v>20.2</v>
      </c>
      <c r="G17" s="33">
        <f t="shared" si="0"/>
        <v>20.2</v>
      </c>
    </row>
    <row r="18" spans="1:9" x14ac:dyDescent="0.45">
      <c r="A18" s="25"/>
      <c r="B18" s="25" t="s">
        <v>22</v>
      </c>
      <c r="C18" s="25"/>
      <c r="D18" s="40">
        <v>0.1</v>
      </c>
      <c r="E18" s="27" t="s">
        <v>23</v>
      </c>
      <c r="F18" s="41">
        <v>12</v>
      </c>
      <c r="G18" s="33">
        <f t="shared" si="0"/>
        <v>1.2000000000000002</v>
      </c>
    </row>
    <row r="19" spans="1:9" x14ac:dyDescent="0.45">
      <c r="A19" s="25"/>
      <c r="B19" s="25" t="s">
        <v>24</v>
      </c>
      <c r="C19" s="25"/>
      <c r="D19" s="25">
        <v>1</v>
      </c>
      <c r="E19" s="27" t="s">
        <v>8</v>
      </c>
      <c r="F19" s="39">
        <v>0</v>
      </c>
      <c r="G19" s="33">
        <f t="shared" si="0"/>
        <v>0</v>
      </c>
    </row>
    <row r="20" spans="1:9" x14ac:dyDescent="0.45">
      <c r="A20" s="25"/>
      <c r="B20" s="25" t="s">
        <v>25</v>
      </c>
      <c r="C20" s="25"/>
      <c r="D20" s="25">
        <v>1</v>
      </c>
      <c r="E20" s="27" t="s">
        <v>8</v>
      </c>
      <c r="F20" s="39">
        <v>0</v>
      </c>
      <c r="G20" s="33">
        <f t="shared" si="0"/>
        <v>0</v>
      </c>
    </row>
    <row r="21" spans="1:9" ht="14.65" thickBot="1" x14ac:dyDescent="0.5">
      <c r="A21" s="25"/>
      <c r="B21" s="25" t="s">
        <v>26</v>
      </c>
      <c r="C21" s="25"/>
      <c r="D21" s="25"/>
      <c r="E21" s="25"/>
      <c r="F21" s="78">
        <f>+Assumptions!C3</f>
        <v>6.5000000000000002E-2</v>
      </c>
      <c r="G21" s="43">
        <f>+SUM(G10:G20)*F21/12*6</f>
        <v>3.6609040000000004</v>
      </c>
      <c r="I21" s="5"/>
    </row>
    <row r="22" spans="1:9" x14ac:dyDescent="0.45">
      <c r="A22" s="25"/>
      <c r="B22" s="25"/>
      <c r="C22" s="25"/>
      <c r="D22" s="25"/>
      <c r="E22" s="25"/>
      <c r="F22" s="25"/>
      <c r="G22" s="33">
        <f>SUM(G10:G21)</f>
        <v>116.30410400000001</v>
      </c>
    </row>
    <row r="23" spans="1:9" x14ac:dyDescent="0.45">
      <c r="A23" s="25" t="s">
        <v>27</v>
      </c>
      <c r="B23" s="25"/>
      <c r="C23" s="25"/>
      <c r="D23" s="25"/>
      <c r="E23" s="25"/>
      <c r="F23" s="25"/>
      <c r="G23" s="25"/>
    </row>
    <row r="24" spans="1:9" x14ac:dyDescent="0.45">
      <c r="A24" s="25"/>
      <c r="B24" s="25" t="s">
        <v>28</v>
      </c>
      <c r="C24" s="25"/>
      <c r="D24" s="25">
        <v>1</v>
      </c>
      <c r="E24" s="25" t="s">
        <v>8</v>
      </c>
      <c r="F24" s="39">
        <f>24+2.5+D3*0.24</f>
        <v>33.700000000000003</v>
      </c>
      <c r="G24" s="33">
        <f>+D24*F24*H3</f>
        <v>21.0625</v>
      </c>
    </row>
    <row r="25" spans="1:9" x14ac:dyDescent="0.45">
      <c r="A25" s="25"/>
      <c r="B25" s="25" t="s">
        <v>29</v>
      </c>
      <c r="C25" s="25"/>
      <c r="D25" s="25"/>
      <c r="E25" s="25"/>
      <c r="F25" s="44"/>
      <c r="G25" s="25"/>
    </row>
    <row r="26" spans="1:9" ht="14.65" thickBot="1" x14ac:dyDescent="0.5">
      <c r="A26" s="25"/>
      <c r="B26" s="25"/>
      <c r="C26" s="25" t="s">
        <v>30</v>
      </c>
      <c r="D26" s="25">
        <v>1</v>
      </c>
      <c r="E26" s="25" t="s">
        <v>8</v>
      </c>
      <c r="F26" s="39">
        <v>0</v>
      </c>
      <c r="G26" s="43">
        <f>+D26*F26</f>
        <v>0</v>
      </c>
    </row>
    <row r="27" spans="1:9" ht="14.65" thickBot="1" x14ac:dyDescent="0.5">
      <c r="A27" s="25"/>
      <c r="B27" s="25"/>
      <c r="C27" s="25"/>
      <c r="D27" s="25" t="s">
        <v>31</v>
      </c>
      <c r="E27" s="25"/>
      <c r="F27" s="44"/>
      <c r="G27" s="45">
        <f>+G24+G26</f>
        <v>21.0625</v>
      </c>
    </row>
    <row r="28" spans="1:9" ht="14.65" thickTop="1" x14ac:dyDescent="0.45">
      <c r="A28" s="25"/>
      <c r="B28" s="25"/>
      <c r="C28" s="25"/>
      <c r="D28" s="25"/>
      <c r="E28" s="25"/>
      <c r="F28" s="44"/>
      <c r="G28" s="25"/>
    </row>
    <row r="29" spans="1:9" ht="14.65" thickBot="1" x14ac:dyDescent="0.5">
      <c r="A29" s="25" t="s">
        <v>32</v>
      </c>
      <c r="B29" s="25"/>
      <c r="C29" s="25"/>
      <c r="D29" s="25">
        <v>1</v>
      </c>
      <c r="E29" s="25" t="s">
        <v>8</v>
      </c>
      <c r="F29" s="39">
        <v>0</v>
      </c>
      <c r="G29" s="46">
        <f>+D29*F29</f>
        <v>0</v>
      </c>
    </row>
    <row r="30" spans="1:9" ht="14.65" thickTop="1" x14ac:dyDescent="0.45">
      <c r="A30" s="25"/>
      <c r="B30" s="25"/>
      <c r="C30" s="25"/>
      <c r="D30" s="25"/>
      <c r="E30" s="25"/>
      <c r="F30" s="25"/>
      <c r="G30" s="25"/>
    </row>
    <row r="31" spans="1:9" ht="14.65" thickBot="1" x14ac:dyDescent="0.5">
      <c r="A31" s="25" t="s">
        <v>33</v>
      </c>
      <c r="B31" s="25"/>
      <c r="C31" s="25"/>
      <c r="D31" s="25"/>
      <c r="E31" s="25"/>
      <c r="F31" s="25"/>
      <c r="G31" s="36">
        <f>+G22+G27+G29</f>
        <v>137.366604</v>
      </c>
    </row>
    <row r="32" spans="1:9" ht="14.65" thickTop="1" x14ac:dyDescent="0.45">
      <c r="A32" s="25"/>
      <c r="B32" s="25"/>
      <c r="C32" s="25"/>
      <c r="D32" s="25"/>
      <c r="E32" s="25"/>
      <c r="F32" s="25"/>
      <c r="G32" s="25"/>
    </row>
    <row r="33" spans="1:7" x14ac:dyDescent="0.45">
      <c r="A33" s="25" t="s">
        <v>34</v>
      </c>
      <c r="B33" s="25"/>
      <c r="C33" s="25"/>
      <c r="D33" s="25"/>
      <c r="E33" s="25"/>
      <c r="F33" s="25"/>
      <c r="G33" s="33">
        <f>+G7-G31</f>
        <v>25.044646</v>
      </c>
    </row>
    <row r="34" spans="1:7" x14ac:dyDescent="0.45">
      <c r="A34" s="25"/>
      <c r="B34" s="25" t="s">
        <v>35</v>
      </c>
      <c r="C34" s="25"/>
      <c r="D34" s="25"/>
      <c r="E34" s="25" t="s">
        <v>6</v>
      </c>
      <c r="F34" s="47">
        <f>IF(D3=0,"n/a",(G31-G4-G5-G6)/D3)</f>
        <v>2.0401784666666662</v>
      </c>
      <c r="G34" s="25"/>
    </row>
    <row r="35" spans="1:7" x14ac:dyDescent="0.45">
      <c r="A35" s="25"/>
      <c r="B35" s="25"/>
      <c r="C35" s="25"/>
      <c r="D35" s="25"/>
      <c r="E35" s="25"/>
      <c r="F35" s="25"/>
      <c r="G35" s="25"/>
    </row>
    <row r="36" spans="1:7" x14ac:dyDescent="0.45">
      <c r="A36" s="28" t="s">
        <v>36</v>
      </c>
      <c r="B36" s="28"/>
      <c r="C36" s="28"/>
      <c r="D36" s="28" t="s">
        <v>1</v>
      </c>
      <c r="E36" s="28" t="s">
        <v>2</v>
      </c>
      <c r="F36" s="28" t="s">
        <v>3</v>
      </c>
      <c r="G36" s="28" t="s">
        <v>4</v>
      </c>
    </row>
    <row r="37" spans="1:7" x14ac:dyDescent="0.45">
      <c r="A37" s="25"/>
      <c r="B37" s="25" t="s">
        <v>37</v>
      </c>
      <c r="C37" s="25"/>
      <c r="D37" s="25">
        <v>1</v>
      </c>
      <c r="E37" s="25" t="s">
        <v>8</v>
      </c>
      <c r="F37" s="39">
        <f>+'Wheat Grain'!F37</f>
        <v>11.74</v>
      </c>
      <c r="G37" s="33">
        <f>D37*F37</f>
        <v>11.74</v>
      </c>
    </row>
    <row r="38" spans="1:7" x14ac:dyDescent="0.45">
      <c r="A38" s="25"/>
      <c r="B38" s="25" t="s">
        <v>38</v>
      </c>
      <c r="C38" s="25"/>
      <c r="D38" s="25">
        <v>1</v>
      </c>
      <c r="E38" s="25" t="s">
        <v>8</v>
      </c>
      <c r="F38" s="39">
        <f>+'Wheat Grain'!F38</f>
        <v>0</v>
      </c>
      <c r="G38" s="33">
        <f t="shared" ref="G38:G45" si="1">D38*F38</f>
        <v>0</v>
      </c>
    </row>
    <row r="39" spans="1:7" x14ac:dyDescent="0.45">
      <c r="A39" s="25"/>
      <c r="B39" s="25" t="s">
        <v>39</v>
      </c>
      <c r="C39" s="25"/>
      <c r="D39" s="25">
        <v>1</v>
      </c>
      <c r="E39" s="25" t="s">
        <v>8</v>
      </c>
      <c r="F39" s="39">
        <f>+'Wheat Grain'!F39</f>
        <v>0</v>
      </c>
      <c r="G39" s="33">
        <f t="shared" si="1"/>
        <v>0</v>
      </c>
    </row>
    <row r="40" spans="1:7" x14ac:dyDescent="0.45">
      <c r="A40" s="25"/>
      <c r="B40" s="25" t="s">
        <v>40</v>
      </c>
      <c r="C40" s="25"/>
      <c r="D40" s="25">
        <v>1</v>
      </c>
      <c r="E40" s="25" t="s">
        <v>8</v>
      </c>
      <c r="F40" s="39">
        <f>+'Wheat Grain'!F40</f>
        <v>30</v>
      </c>
      <c r="G40" s="33">
        <f t="shared" si="1"/>
        <v>30</v>
      </c>
    </row>
    <row r="41" spans="1:7" x14ac:dyDescent="0.45">
      <c r="A41" s="25"/>
      <c r="B41" s="25" t="s">
        <v>41</v>
      </c>
      <c r="C41" s="25"/>
      <c r="D41" s="25">
        <v>1</v>
      </c>
      <c r="E41" s="25" t="s">
        <v>8</v>
      </c>
      <c r="F41" s="39">
        <f>+'Wheat Grain'!F41</f>
        <v>0</v>
      </c>
      <c r="G41" s="33">
        <f t="shared" si="1"/>
        <v>0</v>
      </c>
    </row>
    <row r="42" spans="1:7" x14ac:dyDescent="0.45">
      <c r="A42" s="25"/>
      <c r="B42" s="25" t="s">
        <v>42</v>
      </c>
      <c r="C42" s="25"/>
      <c r="D42" s="25">
        <v>1</v>
      </c>
      <c r="E42" s="25" t="s">
        <v>8</v>
      </c>
      <c r="F42" s="39">
        <f>+'Wheat Grain'!F42</f>
        <v>3.5</v>
      </c>
      <c r="G42" s="33">
        <f t="shared" si="1"/>
        <v>3.5</v>
      </c>
    </row>
    <row r="43" spans="1:7" x14ac:dyDescent="0.45">
      <c r="A43" s="25"/>
      <c r="B43" s="34" t="s">
        <v>43</v>
      </c>
      <c r="C43" s="34"/>
      <c r="D43" s="34">
        <v>1</v>
      </c>
      <c r="E43" s="34" t="s">
        <v>8</v>
      </c>
      <c r="F43" s="39">
        <f>+'Wheat Graze Out'!F43</f>
        <v>0</v>
      </c>
      <c r="G43" s="33">
        <f t="shared" si="1"/>
        <v>0</v>
      </c>
    </row>
    <row r="44" spans="1:7" x14ac:dyDescent="0.45">
      <c r="A44" s="25"/>
      <c r="B44" s="34" t="s">
        <v>43</v>
      </c>
      <c r="C44" s="34"/>
      <c r="D44" s="34">
        <v>1</v>
      </c>
      <c r="E44" s="34" t="s">
        <v>8</v>
      </c>
      <c r="F44" s="39">
        <f>+'Wheat Graze Out'!F44</f>
        <v>0</v>
      </c>
      <c r="G44" s="33">
        <f t="shared" si="1"/>
        <v>0</v>
      </c>
    </row>
    <row r="45" spans="1:7" ht="14.65" thickBot="1" x14ac:dyDescent="0.5">
      <c r="A45" s="25"/>
      <c r="B45" s="34" t="s">
        <v>43</v>
      </c>
      <c r="C45" s="34"/>
      <c r="D45" s="34">
        <v>1</v>
      </c>
      <c r="E45" s="34" t="s">
        <v>8</v>
      </c>
      <c r="F45" s="39">
        <f>+'Wheat Graze Out'!F45</f>
        <v>0</v>
      </c>
      <c r="G45" s="36">
        <f t="shared" si="1"/>
        <v>0</v>
      </c>
    </row>
    <row r="46" spans="1:7" ht="14.65" thickTop="1" x14ac:dyDescent="0.45">
      <c r="A46" s="25"/>
      <c r="B46" s="25"/>
      <c r="C46" s="25"/>
      <c r="D46" s="25"/>
      <c r="E46" s="25"/>
      <c r="F46" s="25"/>
      <c r="G46" s="25"/>
    </row>
    <row r="47" spans="1:7" ht="14.65" thickBot="1" x14ac:dyDescent="0.5">
      <c r="A47" s="25" t="s">
        <v>44</v>
      </c>
      <c r="B47" s="25"/>
      <c r="C47" s="25"/>
      <c r="D47" s="25"/>
      <c r="E47" s="25"/>
      <c r="F47" s="25"/>
      <c r="G47" s="36">
        <f>SUM(G37:G45)</f>
        <v>45.24</v>
      </c>
    </row>
    <row r="48" spans="1:7" ht="14.65" thickTop="1" x14ac:dyDescent="0.45">
      <c r="A48" s="25"/>
      <c r="B48" s="25"/>
      <c r="C48" s="25"/>
      <c r="D48" s="25"/>
      <c r="E48" s="25"/>
      <c r="F48" s="25"/>
      <c r="G48" s="25"/>
    </row>
    <row r="49" spans="1:7" ht="14.65" thickBot="1" x14ac:dyDescent="0.5">
      <c r="A49" s="25" t="s">
        <v>45</v>
      </c>
      <c r="B49" s="25"/>
      <c r="C49" s="25"/>
      <c r="D49" s="25"/>
      <c r="E49" s="25"/>
      <c r="F49" s="25"/>
      <c r="G49" s="36">
        <f>+G31+G47</f>
        <v>182.606604</v>
      </c>
    </row>
    <row r="50" spans="1:7" ht="14.65" thickTop="1" x14ac:dyDescent="0.45">
      <c r="A50" s="25"/>
      <c r="B50" s="25"/>
      <c r="C50" s="25"/>
      <c r="D50" s="25"/>
      <c r="E50" s="25"/>
      <c r="F50" s="25"/>
      <c r="G50" s="25"/>
    </row>
    <row r="51" spans="1:7" x14ac:dyDescent="0.45">
      <c r="A51" s="25" t="s">
        <v>46</v>
      </c>
      <c r="B51" s="25"/>
      <c r="C51" s="25"/>
      <c r="D51" s="25"/>
      <c r="E51" s="25"/>
      <c r="F51" s="25"/>
      <c r="G51" s="33">
        <f>+G7-G49</f>
        <v>-20.195354000000009</v>
      </c>
    </row>
    <row r="52" spans="1:7" ht="14.65" thickBot="1" x14ac:dyDescent="0.5">
      <c r="A52" s="48" t="s">
        <v>47</v>
      </c>
      <c r="B52" s="48"/>
      <c r="C52" s="48"/>
      <c r="D52" s="48"/>
      <c r="E52" s="48" t="s">
        <v>6</v>
      </c>
      <c r="F52" s="49">
        <f>IF(D3=0,"n/a",(G49-G4-G5-G6)/D3)</f>
        <v>3.5481784666666671</v>
      </c>
      <c r="G52" s="48"/>
    </row>
    <row r="53" spans="1:7" ht="14.65" thickTop="1" x14ac:dyDescent="0.45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5CFE0-8096-4C2B-B011-07276FAB5087}">
  <dimension ref="A1:Q53"/>
  <sheetViews>
    <sheetView topLeftCell="A16" workbookViewId="0">
      <selection activeCell="H34" sqref="H34"/>
    </sheetView>
  </sheetViews>
  <sheetFormatPr defaultRowHeight="14.25" x14ac:dyDescent="0.45"/>
  <cols>
    <col min="1" max="2" width="3" style="1" customWidth="1"/>
    <col min="3" max="3" width="27.1328125" style="1" customWidth="1"/>
    <col min="4" max="7" width="10.1328125" style="1" customWidth="1"/>
    <col min="8" max="11" width="9.1328125" style="1"/>
    <col min="12" max="12" width="10.06640625" style="1" bestFit="1" customWidth="1"/>
    <col min="13" max="255" width="9.1328125" style="1"/>
    <col min="256" max="257" width="3" style="1" customWidth="1"/>
    <col min="258" max="258" width="27.1328125" style="1" customWidth="1"/>
    <col min="259" max="263" width="10.1328125" style="1" customWidth="1"/>
    <col min="264" max="511" width="9.1328125" style="1"/>
    <col min="512" max="513" width="3" style="1" customWidth="1"/>
    <col min="514" max="514" width="27.1328125" style="1" customWidth="1"/>
    <col min="515" max="519" width="10.1328125" style="1" customWidth="1"/>
    <col min="520" max="767" width="9.1328125" style="1"/>
    <col min="768" max="769" width="3" style="1" customWidth="1"/>
    <col min="770" max="770" width="27.1328125" style="1" customWidth="1"/>
    <col min="771" max="775" width="10.1328125" style="1" customWidth="1"/>
    <col min="776" max="1023" width="9.1328125" style="1"/>
    <col min="1024" max="1025" width="3" style="1" customWidth="1"/>
    <col min="1026" max="1026" width="27.1328125" style="1" customWidth="1"/>
    <col min="1027" max="1031" width="10.1328125" style="1" customWidth="1"/>
    <col min="1032" max="1279" width="9.1328125" style="1"/>
    <col min="1280" max="1281" width="3" style="1" customWidth="1"/>
    <col min="1282" max="1282" width="27.1328125" style="1" customWidth="1"/>
    <col min="1283" max="1287" width="10.1328125" style="1" customWidth="1"/>
    <col min="1288" max="1535" width="9.1328125" style="1"/>
    <col min="1536" max="1537" width="3" style="1" customWidth="1"/>
    <col min="1538" max="1538" width="27.1328125" style="1" customWidth="1"/>
    <col min="1539" max="1543" width="10.1328125" style="1" customWidth="1"/>
    <col min="1544" max="1791" width="9.1328125" style="1"/>
    <col min="1792" max="1793" width="3" style="1" customWidth="1"/>
    <col min="1794" max="1794" width="27.1328125" style="1" customWidth="1"/>
    <col min="1795" max="1799" width="10.1328125" style="1" customWidth="1"/>
    <col min="1800" max="2047" width="9.1328125" style="1"/>
    <col min="2048" max="2049" width="3" style="1" customWidth="1"/>
    <col min="2050" max="2050" width="27.1328125" style="1" customWidth="1"/>
    <col min="2051" max="2055" width="10.1328125" style="1" customWidth="1"/>
    <col min="2056" max="2303" width="9.1328125" style="1"/>
    <col min="2304" max="2305" width="3" style="1" customWidth="1"/>
    <col min="2306" max="2306" width="27.1328125" style="1" customWidth="1"/>
    <col min="2307" max="2311" width="10.1328125" style="1" customWidth="1"/>
    <col min="2312" max="2559" width="9.1328125" style="1"/>
    <col min="2560" max="2561" width="3" style="1" customWidth="1"/>
    <col min="2562" max="2562" width="27.1328125" style="1" customWidth="1"/>
    <col min="2563" max="2567" width="10.1328125" style="1" customWidth="1"/>
    <col min="2568" max="2815" width="9.1328125" style="1"/>
    <col min="2816" max="2817" width="3" style="1" customWidth="1"/>
    <col min="2818" max="2818" width="27.1328125" style="1" customWidth="1"/>
    <col min="2819" max="2823" width="10.1328125" style="1" customWidth="1"/>
    <col min="2824" max="3071" width="9.1328125" style="1"/>
    <col min="3072" max="3073" width="3" style="1" customWidth="1"/>
    <col min="3074" max="3074" width="27.1328125" style="1" customWidth="1"/>
    <col min="3075" max="3079" width="10.1328125" style="1" customWidth="1"/>
    <col min="3080" max="3327" width="9.1328125" style="1"/>
    <col min="3328" max="3329" width="3" style="1" customWidth="1"/>
    <col min="3330" max="3330" width="27.1328125" style="1" customWidth="1"/>
    <col min="3331" max="3335" width="10.1328125" style="1" customWidth="1"/>
    <col min="3336" max="3583" width="9.1328125" style="1"/>
    <col min="3584" max="3585" width="3" style="1" customWidth="1"/>
    <col min="3586" max="3586" width="27.1328125" style="1" customWidth="1"/>
    <col min="3587" max="3591" width="10.1328125" style="1" customWidth="1"/>
    <col min="3592" max="3839" width="9.1328125" style="1"/>
    <col min="3840" max="3841" width="3" style="1" customWidth="1"/>
    <col min="3842" max="3842" width="27.1328125" style="1" customWidth="1"/>
    <col min="3843" max="3847" width="10.1328125" style="1" customWidth="1"/>
    <col min="3848" max="4095" width="9.1328125" style="1"/>
    <col min="4096" max="4097" width="3" style="1" customWidth="1"/>
    <col min="4098" max="4098" width="27.1328125" style="1" customWidth="1"/>
    <col min="4099" max="4103" width="10.1328125" style="1" customWidth="1"/>
    <col min="4104" max="4351" width="9.1328125" style="1"/>
    <col min="4352" max="4353" width="3" style="1" customWidth="1"/>
    <col min="4354" max="4354" width="27.1328125" style="1" customWidth="1"/>
    <col min="4355" max="4359" width="10.1328125" style="1" customWidth="1"/>
    <col min="4360" max="4607" width="9.1328125" style="1"/>
    <col min="4608" max="4609" width="3" style="1" customWidth="1"/>
    <col min="4610" max="4610" width="27.1328125" style="1" customWidth="1"/>
    <col min="4611" max="4615" width="10.1328125" style="1" customWidth="1"/>
    <col min="4616" max="4863" width="9.1328125" style="1"/>
    <col min="4864" max="4865" width="3" style="1" customWidth="1"/>
    <col min="4866" max="4866" width="27.1328125" style="1" customWidth="1"/>
    <col min="4867" max="4871" width="10.1328125" style="1" customWidth="1"/>
    <col min="4872" max="5119" width="9.1328125" style="1"/>
    <col min="5120" max="5121" width="3" style="1" customWidth="1"/>
    <col min="5122" max="5122" width="27.1328125" style="1" customWidth="1"/>
    <col min="5123" max="5127" width="10.1328125" style="1" customWidth="1"/>
    <col min="5128" max="5375" width="9.1328125" style="1"/>
    <col min="5376" max="5377" width="3" style="1" customWidth="1"/>
    <col min="5378" max="5378" width="27.1328125" style="1" customWidth="1"/>
    <col min="5379" max="5383" width="10.1328125" style="1" customWidth="1"/>
    <col min="5384" max="5631" width="9.1328125" style="1"/>
    <col min="5632" max="5633" width="3" style="1" customWidth="1"/>
    <col min="5634" max="5634" width="27.1328125" style="1" customWidth="1"/>
    <col min="5635" max="5639" width="10.1328125" style="1" customWidth="1"/>
    <col min="5640" max="5887" width="9.1328125" style="1"/>
    <col min="5888" max="5889" width="3" style="1" customWidth="1"/>
    <col min="5890" max="5890" width="27.1328125" style="1" customWidth="1"/>
    <col min="5891" max="5895" width="10.1328125" style="1" customWidth="1"/>
    <col min="5896" max="6143" width="9.1328125" style="1"/>
    <col min="6144" max="6145" width="3" style="1" customWidth="1"/>
    <col min="6146" max="6146" width="27.1328125" style="1" customWidth="1"/>
    <col min="6147" max="6151" width="10.1328125" style="1" customWidth="1"/>
    <col min="6152" max="6399" width="9.1328125" style="1"/>
    <col min="6400" max="6401" width="3" style="1" customWidth="1"/>
    <col min="6402" max="6402" width="27.1328125" style="1" customWidth="1"/>
    <col min="6403" max="6407" width="10.1328125" style="1" customWidth="1"/>
    <col min="6408" max="6655" width="9.1328125" style="1"/>
    <col min="6656" max="6657" width="3" style="1" customWidth="1"/>
    <col min="6658" max="6658" width="27.1328125" style="1" customWidth="1"/>
    <col min="6659" max="6663" width="10.1328125" style="1" customWidth="1"/>
    <col min="6664" max="6911" width="9.1328125" style="1"/>
    <col min="6912" max="6913" width="3" style="1" customWidth="1"/>
    <col min="6914" max="6914" width="27.1328125" style="1" customWidth="1"/>
    <col min="6915" max="6919" width="10.1328125" style="1" customWidth="1"/>
    <col min="6920" max="7167" width="9.1328125" style="1"/>
    <col min="7168" max="7169" width="3" style="1" customWidth="1"/>
    <col min="7170" max="7170" width="27.1328125" style="1" customWidth="1"/>
    <col min="7171" max="7175" width="10.1328125" style="1" customWidth="1"/>
    <col min="7176" max="7423" width="9.1328125" style="1"/>
    <col min="7424" max="7425" width="3" style="1" customWidth="1"/>
    <col min="7426" max="7426" width="27.1328125" style="1" customWidth="1"/>
    <col min="7427" max="7431" width="10.1328125" style="1" customWidth="1"/>
    <col min="7432" max="7679" width="9.1328125" style="1"/>
    <col min="7680" max="7681" width="3" style="1" customWidth="1"/>
    <col min="7682" max="7682" width="27.1328125" style="1" customWidth="1"/>
    <col min="7683" max="7687" width="10.1328125" style="1" customWidth="1"/>
    <col min="7688" max="7935" width="9.1328125" style="1"/>
    <col min="7936" max="7937" width="3" style="1" customWidth="1"/>
    <col min="7938" max="7938" width="27.1328125" style="1" customWidth="1"/>
    <col min="7939" max="7943" width="10.1328125" style="1" customWidth="1"/>
    <col min="7944" max="8191" width="9.1328125" style="1"/>
    <col min="8192" max="8193" width="3" style="1" customWidth="1"/>
    <col min="8194" max="8194" width="27.1328125" style="1" customWidth="1"/>
    <col min="8195" max="8199" width="10.1328125" style="1" customWidth="1"/>
    <col min="8200" max="8447" width="9.1328125" style="1"/>
    <col min="8448" max="8449" width="3" style="1" customWidth="1"/>
    <col min="8450" max="8450" width="27.1328125" style="1" customWidth="1"/>
    <col min="8451" max="8455" width="10.1328125" style="1" customWidth="1"/>
    <col min="8456" max="8703" width="9.1328125" style="1"/>
    <col min="8704" max="8705" width="3" style="1" customWidth="1"/>
    <col min="8706" max="8706" width="27.1328125" style="1" customWidth="1"/>
    <col min="8707" max="8711" width="10.1328125" style="1" customWidth="1"/>
    <col min="8712" max="8959" width="9.1328125" style="1"/>
    <col min="8960" max="8961" width="3" style="1" customWidth="1"/>
    <col min="8962" max="8962" width="27.1328125" style="1" customWidth="1"/>
    <col min="8963" max="8967" width="10.1328125" style="1" customWidth="1"/>
    <col min="8968" max="9215" width="9.1328125" style="1"/>
    <col min="9216" max="9217" width="3" style="1" customWidth="1"/>
    <col min="9218" max="9218" width="27.1328125" style="1" customWidth="1"/>
    <col min="9219" max="9223" width="10.1328125" style="1" customWidth="1"/>
    <col min="9224" max="9471" width="9.1328125" style="1"/>
    <col min="9472" max="9473" width="3" style="1" customWidth="1"/>
    <col min="9474" max="9474" width="27.1328125" style="1" customWidth="1"/>
    <col min="9475" max="9479" width="10.1328125" style="1" customWidth="1"/>
    <col min="9480" max="9727" width="9.1328125" style="1"/>
    <col min="9728" max="9729" width="3" style="1" customWidth="1"/>
    <col min="9730" max="9730" width="27.1328125" style="1" customWidth="1"/>
    <col min="9731" max="9735" width="10.1328125" style="1" customWidth="1"/>
    <col min="9736" max="9983" width="9.1328125" style="1"/>
    <col min="9984" max="9985" width="3" style="1" customWidth="1"/>
    <col min="9986" max="9986" width="27.1328125" style="1" customWidth="1"/>
    <col min="9987" max="9991" width="10.1328125" style="1" customWidth="1"/>
    <col min="9992" max="10239" width="9.1328125" style="1"/>
    <col min="10240" max="10241" width="3" style="1" customWidth="1"/>
    <col min="10242" max="10242" width="27.1328125" style="1" customWidth="1"/>
    <col min="10243" max="10247" width="10.1328125" style="1" customWidth="1"/>
    <col min="10248" max="10495" width="9.1328125" style="1"/>
    <col min="10496" max="10497" width="3" style="1" customWidth="1"/>
    <col min="10498" max="10498" width="27.1328125" style="1" customWidth="1"/>
    <col min="10499" max="10503" width="10.1328125" style="1" customWidth="1"/>
    <col min="10504" max="10751" width="9.1328125" style="1"/>
    <col min="10752" max="10753" width="3" style="1" customWidth="1"/>
    <col min="10754" max="10754" width="27.1328125" style="1" customWidth="1"/>
    <col min="10755" max="10759" width="10.1328125" style="1" customWidth="1"/>
    <col min="10760" max="11007" width="9.1328125" style="1"/>
    <col min="11008" max="11009" width="3" style="1" customWidth="1"/>
    <col min="11010" max="11010" width="27.1328125" style="1" customWidth="1"/>
    <col min="11011" max="11015" width="10.1328125" style="1" customWidth="1"/>
    <col min="11016" max="11263" width="9.1328125" style="1"/>
    <col min="11264" max="11265" width="3" style="1" customWidth="1"/>
    <col min="11266" max="11266" width="27.1328125" style="1" customWidth="1"/>
    <col min="11267" max="11271" width="10.1328125" style="1" customWidth="1"/>
    <col min="11272" max="11519" width="9.1328125" style="1"/>
    <col min="11520" max="11521" width="3" style="1" customWidth="1"/>
    <col min="11522" max="11522" width="27.1328125" style="1" customWidth="1"/>
    <col min="11523" max="11527" width="10.1328125" style="1" customWidth="1"/>
    <col min="11528" max="11775" width="9.1328125" style="1"/>
    <col min="11776" max="11777" width="3" style="1" customWidth="1"/>
    <col min="11778" max="11778" width="27.1328125" style="1" customWidth="1"/>
    <col min="11779" max="11783" width="10.1328125" style="1" customWidth="1"/>
    <col min="11784" max="12031" width="9.1328125" style="1"/>
    <col min="12032" max="12033" width="3" style="1" customWidth="1"/>
    <col min="12034" max="12034" width="27.1328125" style="1" customWidth="1"/>
    <col min="12035" max="12039" width="10.1328125" style="1" customWidth="1"/>
    <col min="12040" max="12287" width="9.1328125" style="1"/>
    <col min="12288" max="12289" width="3" style="1" customWidth="1"/>
    <col min="12290" max="12290" width="27.1328125" style="1" customWidth="1"/>
    <col min="12291" max="12295" width="10.1328125" style="1" customWidth="1"/>
    <col min="12296" max="12543" width="9.1328125" style="1"/>
    <col min="12544" max="12545" width="3" style="1" customWidth="1"/>
    <col min="12546" max="12546" width="27.1328125" style="1" customWidth="1"/>
    <col min="12547" max="12551" width="10.1328125" style="1" customWidth="1"/>
    <col min="12552" max="12799" width="9.1328125" style="1"/>
    <col min="12800" max="12801" width="3" style="1" customWidth="1"/>
    <col min="12802" max="12802" width="27.1328125" style="1" customWidth="1"/>
    <col min="12803" max="12807" width="10.1328125" style="1" customWidth="1"/>
    <col min="12808" max="13055" width="9.1328125" style="1"/>
    <col min="13056" max="13057" width="3" style="1" customWidth="1"/>
    <col min="13058" max="13058" width="27.1328125" style="1" customWidth="1"/>
    <col min="13059" max="13063" width="10.1328125" style="1" customWidth="1"/>
    <col min="13064" max="13311" width="9.1328125" style="1"/>
    <col min="13312" max="13313" width="3" style="1" customWidth="1"/>
    <col min="13314" max="13314" width="27.1328125" style="1" customWidth="1"/>
    <col min="13315" max="13319" width="10.1328125" style="1" customWidth="1"/>
    <col min="13320" max="13567" width="9.1328125" style="1"/>
    <col min="13568" max="13569" width="3" style="1" customWidth="1"/>
    <col min="13570" max="13570" width="27.1328125" style="1" customWidth="1"/>
    <col min="13571" max="13575" width="10.1328125" style="1" customWidth="1"/>
    <col min="13576" max="13823" width="9.1328125" style="1"/>
    <col min="13824" max="13825" width="3" style="1" customWidth="1"/>
    <col min="13826" max="13826" width="27.1328125" style="1" customWidth="1"/>
    <col min="13827" max="13831" width="10.1328125" style="1" customWidth="1"/>
    <col min="13832" max="14079" width="9.1328125" style="1"/>
    <col min="14080" max="14081" width="3" style="1" customWidth="1"/>
    <col min="14082" max="14082" width="27.1328125" style="1" customWidth="1"/>
    <col min="14083" max="14087" width="10.1328125" style="1" customWidth="1"/>
    <col min="14088" max="14335" width="9.1328125" style="1"/>
    <col min="14336" max="14337" width="3" style="1" customWidth="1"/>
    <col min="14338" max="14338" width="27.1328125" style="1" customWidth="1"/>
    <col min="14339" max="14343" width="10.1328125" style="1" customWidth="1"/>
    <col min="14344" max="14591" width="9.1328125" style="1"/>
    <col min="14592" max="14593" width="3" style="1" customWidth="1"/>
    <col min="14594" max="14594" width="27.1328125" style="1" customWidth="1"/>
    <col min="14595" max="14599" width="10.1328125" style="1" customWidth="1"/>
    <col min="14600" max="14847" width="9.1328125" style="1"/>
    <col min="14848" max="14849" width="3" style="1" customWidth="1"/>
    <col min="14850" max="14850" width="27.1328125" style="1" customWidth="1"/>
    <col min="14851" max="14855" width="10.1328125" style="1" customWidth="1"/>
    <col min="14856" max="15103" width="9.1328125" style="1"/>
    <col min="15104" max="15105" width="3" style="1" customWidth="1"/>
    <col min="15106" max="15106" width="27.1328125" style="1" customWidth="1"/>
    <col min="15107" max="15111" width="10.1328125" style="1" customWidth="1"/>
    <col min="15112" max="15359" width="9.1328125" style="1"/>
    <col min="15360" max="15361" width="3" style="1" customWidth="1"/>
    <col min="15362" max="15362" width="27.1328125" style="1" customWidth="1"/>
    <col min="15363" max="15367" width="10.1328125" style="1" customWidth="1"/>
    <col min="15368" max="15615" width="9.1328125" style="1"/>
    <col min="15616" max="15617" width="3" style="1" customWidth="1"/>
    <col min="15618" max="15618" width="27.1328125" style="1" customWidth="1"/>
    <col min="15619" max="15623" width="10.1328125" style="1" customWidth="1"/>
    <col min="15624" max="15871" width="9.1328125" style="1"/>
    <col min="15872" max="15873" width="3" style="1" customWidth="1"/>
    <col min="15874" max="15874" width="27.1328125" style="1" customWidth="1"/>
    <col min="15875" max="15879" width="10.1328125" style="1" customWidth="1"/>
    <col min="15880" max="16127" width="9.1328125" style="1"/>
    <col min="16128" max="16129" width="3" style="1" customWidth="1"/>
    <col min="16130" max="16130" width="27.1328125" style="1" customWidth="1"/>
    <col min="16131" max="16135" width="10.1328125" style="1" customWidth="1"/>
    <col min="16136" max="16383" width="9.1328125" style="1"/>
    <col min="16384" max="16384" width="9.1328125" style="1" customWidth="1"/>
  </cols>
  <sheetData>
    <row r="1" spans="1:17" x14ac:dyDescent="0.45">
      <c r="A1" s="25"/>
      <c r="B1" s="26" t="s">
        <v>92</v>
      </c>
      <c r="C1" s="25"/>
      <c r="D1" s="27"/>
      <c r="E1" s="27"/>
      <c r="F1" s="27"/>
      <c r="G1" s="27">
        <f>+Assumptions!F7</f>
        <v>0</v>
      </c>
    </row>
    <row r="2" spans="1:17" x14ac:dyDescent="0.45">
      <c r="A2" s="28" t="s">
        <v>0</v>
      </c>
      <c r="B2" s="28"/>
      <c r="C2" s="28"/>
      <c r="D2" s="29" t="s">
        <v>1</v>
      </c>
      <c r="E2" s="29" t="s">
        <v>2</v>
      </c>
      <c r="F2" s="29" t="s">
        <v>3</v>
      </c>
      <c r="G2" s="29" t="s">
        <v>4</v>
      </c>
      <c r="H2" s="1" t="s">
        <v>70</v>
      </c>
    </row>
    <row r="3" spans="1:17" x14ac:dyDescent="0.45">
      <c r="A3" s="25"/>
      <c r="B3" s="25" t="s">
        <v>5</v>
      </c>
      <c r="C3" s="25"/>
      <c r="D3" s="69">
        <f>+Assumptions!F7</f>
        <v>0</v>
      </c>
      <c r="E3" s="31" t="s">
        <v>6</v>
      </c>
      <c r="F3" s="58">
        <f>+Assumptions!F11</f>
        <v>4.5999999999999996</v>
      </c>
      <c r="G3" s="33">
        <f>D3*F3*H3</f>
        <v>0</v>
      </c>
      <c r="H3" s="77">
        <v>0</v>
      </c>
      <c r="J3" s="1" t="s">
        <v>51</v>
      </c>
      <c r="K3" s="1" t="s">
        <v>52</v>
      </c>
      <c r="L3" s="1" t="s">
        <v>137</v>
      </c>
      <c r="M3" s="1" t="s">
        <v>101</v>
      </c>
      <c r="N3" s="1" t="s">
        <v>49</v>
      </c>
      <c r="O3" s="1" t="s">
        <v>53</v>
      </c>
    </row>
    <row r="4" spans="1:17" x14ac:dyDescent="0.45">
      <c r="A4" s="25"/>
      <c r="B4" s="34" t="s">
        <v>55</v>
      </c>
      <c r="C4" s="35"/>
      <c r="D4" s="75">
        <f>+M4</f>
        <v>83.25</v>
      </c>
      <c r="E4" s="31" t="s">
        <v>72</v>
      </c>
      <c r="F4" s="32">
        <f>+N4</f>
        <v>0.55000000000000004</v>
      </c>
      <c r="G4" s="33">
        <f>D4*F4</f>
        <v>45.787500000000001</v>
      </c>
      <c r="J4" s="4">
        <f>+'Wheat Dual ~800Lb'!J4</f>
        <v>111</v>
      </c>
      <c r="K4" s="1">
        <f>Assumptions!F17</f>
        <v>1.5</v>
      </c>
      <c r="L4" s="1">
        <f>Assumptions!F16</f>
        <v>2</v>
      </c>
      <c r="M4" s="4">
        <f>+J4*K4/L4</f>
        <v>83.25</v>
      </c>
      <c r="N4" s="9">
        <f>+'Wheat Dual ~800Lb'!N4</f>
        <v>0.55000000000000004</v>
      </c>
      <c r="O4" s="4">
        <f>+N4*M4</f>
        <v>45.787500000000001</v>
      </c>
      <c r="Q4" s="1">
        <f>+K4*J4</f>
        <v>166.5</v>
      </c>
    </row>
    <row r="5" spans="1:17" x14ac:dyDescent="0.45">
      <c r="A5" s="25"/>
      <c r="B5" s="34" t="s">
        <v>56</v>
      </c>
      <c r="C5" s="35"/>
      <c r="D5" s="75">
        <f>+M5</f>
        <v>147.26666666666668</v>
      </c>
      <c r="E5" s="31" t="s">
        <v>72</v>
      </c>
      <c r="F5" s="32">
        <f>+N5</f>
        <v>0.55000000000000004</v>
      </c>
      <c r="G5" s="33">
        <f>D5*F5</f>
        <v>80.996666666666684</v>
      </c>
      <c r="J5" s="4">
        <f>+'Wheat Dual ~800Lb'!J5</f>
        <v>47</v>
      </c>
      <c r="K5" s="1">
        <f>Assumptions!F22</f>
        <v>2.35</v>
      </c>
      <c r="L5" s="1">
        <f>Assumptions!F21</f>
        <v>0.75</v>
      </c>
      <c r="M5" s="4">
        <f>+J5*K5/L5</f>
        <v>147.26666666666668</v>
      </c>
      <c r="N5" s="9">
        <f>N4</f>
        <v>0.55000000000000004</v>
      </c>
      <c r="O5" s="4">
        <f>+N5*M5</f>
        <v>80.996666666666684</v>
      </c>
      <c r="Q5" s="1">
        <f>+K5*J5</f>
        <v>110.45</v>
      </c>
    </row>
    <row r="6" spans="1:17" ht="14.65" thickBot="1" x14ac:dyDescent="0.5">
      <c r="A6" s="25"/>
      <c r="B6" s="34" t="s">
        <v>7</v>
      </c>
      <c r="C6" s="35"/>
      <c r="D6" s="34">
        <v>1</v>
      </c>
      <c r="E6" s="31" t="s">
        <v>8</v>
      </c>
      <c r="F6" s="32">
        <v>0</v>
      </c>
      <c r="G6" s="36">
        <f>D6*F6</f>
        <v>0</v>
      </c>
      <c r="Q6" s="1">
        <f>+Q5+Q4</f>
        <v>276.95</v>
      </c>
    </row>
    <row r="7" spans="1:17" ht="14.65" thickTop="1" x14ac:dyDescent="0.45">
      <c r="A7" s="37" t="s">
        <v>9</v>
      </c>
      <c r="B7" s="37"/>
      <c r="C7" s="37"/>
      <c r="D7" s="37"/>
      <c r="E7" s="37"/>
      <c r="F7" s="37"/>
      <c r="G7" s="38">
        <f>SUM(G3:G6)</f>
        <v>126.78416666666669</v>
      </c>
      <c r="Q7" s="1">
        <f>+Q6/(J5+J4)</f>
        <v>1.7528481012658228</v>
      </c>
    </row>
    <row r="8" spans="1:17" x14ac:dyDescent="0.45">
      <c r="A8" s="28" t="s">
        <v>10</v>
      </c>
      <c r="B8" s="28"/>
      <c r="C8" s="28"/>
      <c r="D8" s="28" t="s">
        <v>1</v>
      </c>
      <c r="E8" s="28" t="s">
        <v>2</v>
      </c>
      <c r="F8" s="28" t="s">
        <v>3</v>
      </c>
      <c r="G8" s="28" t="s">
        <v>4</v>
      </c>
    </row>
    <row r="9" spans="1:17" x14ac:dyDescent="0.45">
      <c r="A9" s="25" t="s">
        <v>11</v>
      </c>
      <c r="B9" s="25"/>
      <c r="C9" s="25"/>
      <c r="D9" s="25"/>
      <c r="E9" s="25"/>
      <c r="F9" s="25"/>
      <c r="G9" s="25"/>
    </row>
    <row r="10" spans="1:17" x14ac:dyDescent="0.45">
      <c r="A10" s="25"/>
      <c r="B10" s="25" t="s">
        <v>12</v>
      </c>
      <c r="C10" s="25"/>
      <c r="D10" s="25">
        <v>1</v>
      </c>
      <c r="E10" s="27" t="s">
        <v>8</v>
      </c>
      <c r="F10" s="39">
        <v>20</v>
      </c>
      <c r="G10" s="33">
        <f>D10*F10</f>
        <v>20</v>
      </c>
    </row>
    <row r="11" spans="1:17" x14ac:dyDescent="0.45">
      <c r="A11" s="25"/>
      <c r="B11" s="25" t="s">
        <v>13</v>
      </c>
      <c r="C11" s="25"/>
      <c r="D11" s="25">
        <v>1</v>
      </c>
      <c r="E11" s="27" t="s">
        <v>8</v>
      </c>
      <c r="F11" s="39">
        <v>24</v>
      </c>
      <c r="G11" s="33">
        <f t="shared" ref="G11:G20" si="0">D11*F11</f>
        <v>24</v>
      </c>
    </row>
    <row r="12" spans="1:17" x14ac:dyDescent="0.45">
      <c r="A12" s="25"/>
      <c r="B12" s="25" t="s">
        <v>14</v>
      </c>
      <c r="C12" s="25"/>
      <c r="D12" s="25">
        <v>1</v>
      </c>
      <c r="E12" s="27" t="s">
        <v>8</v>
      </c>
      <c r="F12" s="39">
        <v>0</v>
      </c>
      <c r="G12" s="33">
        <f t="shared" si="0"/>
        <v>0</v>
      </c>
    </row>
    <row r="13" spans="1:17" x14ac:dyDescent="0.45">
      <c r="A13" s="25"/>
      <c r="B13" s="25" t="s">
        <v>15</v>
      </c>
      <c r="C13" s="25"/>
      <c r="D13" s="25">
        <v>1</v>
      </c>
      <c r="E13" s="27" t="s">
        <v>8</v>
      </c>
      <c r="F13" s="39">
        <v>0</v>
      </c>
      <c r="G13" s="33">
        <f t="shared" si="0"/>
        <v>0</v>
      </c>
    </row>
    <row r="14" spans="1:17" x14ac:dyDescent="0.45">
      <c r="A14" s="25"/>
      <c r="B14" s="25" t="s">
        <v>16</v>
      </c>
      <c r="C14" s="25"/>
      <c r="D14" s="25">
        <v>1</v>
      </c>
      <c r="E14" s="27" t="s">
        <v>8</v>
      </c>
      <c r="F14" s="39">
        <v>0</v>
      </c>
      <c r="G14" s="33">
        <f t="shared" si="0"/>
        <v>0</v>
      </c>
    </row>
    <row r="15" spans="1:17" x14ac:dyDescent="0.45">
      <c r="A15" s="25"/>
      <c r="B15" s="25" t="s">
        <v>17</v>
      </c>
      <c r="C15" s="25"/>
      <c r="D15" s="40">
        <v>4.25</v>
      </c>
      <c r="E15" s="27" t="s">
        <v>18</v>
      </c>
      <c r="F15" s="41">
        <v>2.2000000000000002</v>
      </c>
      <c r="G15" s="33">
        <f>D15*F15</f>
        <v>9.3500000000000014</v>
      </c>
    </row>
    <row r="16" spans="1:17" x14ac:dyDescent="0.45">
      <c r="A16" s="25"/>
      <c r="B16" s="25" t="s">
        <v>19</v>
      </c>
      <c r="C16" s="25"/>
      <c r="D16" s="42">
        <v>0.1</v>
      </c>
      <c r="E16" s="27" t="s">
        <v>20</v>
      </c>
      <c r="F16" s="39">
        <f>+G15</f>
        <v>9.3500000000000014</v>
      </c>
      <c r="G16" s="33">
        <f t="shared" si="0"/>
        <v>0.93500000000000016</v>
      </c>
    </row>
    <row r="17" spans="1:9" x14ac:dyDescent="0.45">
      <c r="A17" s="25"/>
      <c r="B17" s="25" t="s">
        <v>50</v>
      </c>
      <c r="C17" s="25"/>
      <c r="D17" s="25">
        <v>1</v>
      </c>
      <c r="E17" s="27" t="s">
        <v>8</v>
      </c>
      <c r="F17" s="39">
        <f>6.2+6.8+8.24+11.5</f>
        <v>32.74</v>
      </c>
      <c r="G17" s="33">
        <f t="shared" si="0"/>
        <v>32.74</v>
      </c>
    </row>
    <row r="18" spans="1:9" x14ac:dyDescent="0.45">
      <c r="A18" s="25"/>
      <c r="B18" s="25" t="s">
        <v>22</v>
      </c>
      <c r="C18" s="25"/>
      <c r="D18" s="40">
        <v>0</v>
      </c>
      <c r="E18" s="27" t="s">
        <v>23</v>
      </c>
      <c r="F18" s="41">
        <v>12</v>
      </c>
      <c r="G18" s="33">
        <f t="shared" si="0"/>
        <v>0</v>
      </c>
    </row>
    <row r="19" spans="1:9" x14ac:dyDescent="0.45">
      <c r="A19" s="25"/>
      <c r="B19" s="25" t="s">
        <v>24</v>
      </c>
      <c r="C19" s="25"/>
      <c r="D19" s="25">
        <v>1</v>
      </c>
      <c r="E19" s="27" t="s">
        <v>8</v>
      </c>
      <c r="F19" s="39">
        <v>0</v>
      </c>
      <c r="G19" s="33">
        <f t="shared" si="0"/>
        <v>0</v>
      </c>
    </row>
    <row r="20" spans="1:9" x14ac:dyDescent="0.45">
      <c r="A20" s="25"/>
      <c r="B20" s="25" t="s">
        <v>25</v>
      </c>
      <c r="C20" s="25"/>
      <c r="D20" s="25">
        <v>1</v>
      </c>
      <c r="E20" s="27" t="s">
        <v>8</v>
      </c>
      <c r="F20" s="39">
        <v>0</v>
      </c>
      <c r="G20" s="33">
        <f t="shared" si="0"/>
        <v>0</v>
      </c>
    </row>
    <row r="21" spans="1:9" ht="14.65" thickBot="1" x14ac:dyDescent="0.5">
      <c r="A21" s="25"/>
      <c r="B21" s="25" t="s">
        <v>26</v>
      </c>
      <c r="C21" s="25"/>
      <c r="D21" s="25"/>
      <c r="E21" s="25"/>
      <c r="F21" s="78">
        <f>+Assumptions!C3</f>
        <v>6.5000000000000002E-2</v>
      </c>
      <c r="G21" s="43">
        <f>+SUM(G10:G20)*F21/12*6</f>
        <v>2.8283125000000005</v>
      </c>
      <c r="I21" s="5"/>
    </row>
    <row r="22" spans="1:9" x14ac:dyDescent="0.45">
      <c r="A22" s="25"/>
      <c r="B22" s="25"/>
      <c r="C22" s="25"/>
      <c r="D22" s="25"/>
      <c r="E22" s="25"/>
      <c r="F22" s="25"/>
      <c r="G22" s="33">
        <f>SUM(G10:G21)</f>
        <v>89.853312500000001</v>
      </c>
    </row>
    <row r="23" spans="1:9" x14ac:dyDescent="0.45">
      <c r="A23" s="25" t="s">
        <v>27</v>
      </c>
      <c r="B23" s="25"/>
      <c r="C23" s="25"/>
      <c r="D23" s="25"/>
      <c r="E23" s="25"/>
      <c r="F23" s="25"/>
      <c r="G23" s="25"/>
    </row>
    <row r="24" spans="1:9" x14ac:dyDescent="0.45">
      <c r="A24" s="25"/>
      <c r="B24" s="25" t="s">
        <v>28</v>
      </c>
      <c r="C24" s="25"/>
      <c r="D24" s="25">
        <v>1</v>
      </c>
      <c r="E24" s="25" t="s">
        <v>8</v>
      </c>
      <c r="F24" s="39">
        <v>0</v>
      </c>
      <c r="G24" s="33">
        <f>+D24*F24</f>
        <v>0</v>
      </c>
    </row>
    <row r="25" spans="1:9" x14ac:dyDescent="0.45">
      <c r="A25" s="25"/>
      <c r="B25" s="25" t="s">
        <v>29</v>
      </c>
      <c r="C25" s="25"/>
      <c r="D25" s="25"/>
      <c r="E25" s="25"/>
      <c r="F25" s="44"/>
      <c r="G25" s="25"/>
    </row>
    <row r="26" spans="1:9" ht="14.65" thickBot="1" x14ac:dyDescent="0.5">
      <c r="A26" s="25"/>
      <c r="B26" s="25"/>
      <c r="C26" s="25" t="s">
        <v>30</v>
      </c>
      <c r="D26" s="25">
        <v>1</v>
      </c>
      <c r="E26" s="25" t="s">
        <v>8</v>
      </c>
      <c r="F26" s="39">
        <v>0</v>
      </c>
      <c r="G26" s="43">
        <f>+D26*F26</f>
        <v>0</v>
      </c>
    </row>
    <row r="27" spans="1:9" ht="14.65" thickBot="1" x14ac:dyDescent="0.5">
      <c r="A27" s="25"/>
      <c r="B27" s="25"/>
      <c r="C27" s="25"/>
      <c r="D27" s="25" t="s">
        <v>31</v>
      </c>
      <c r="E27" s="25"/>
      <c r="F27" s="44"/>
      <c r="G27" s="45">
        <f>+G24+G26</f>
        <v>0</v>
      </c>
    </row>
    <row r="28" spans="1:9" ht="14.65" thickTop="1" x14ac:dyDescent="0.45">
      <c r="A28" s="25"/>
      <c r="B28" s="25"/>
      <c r="C28" s="25"/>
      <c r="D28" s="25"/>
      <c r="E28" s="25"/>
      <c r="F28" s="44"/>
      <c r="G28" s="25"/>
    </row>
    <row r="29" spans="1:9" ht="14.65" thickBot="1" x14ac:dyDescent="0.5">
      <c r="A29" s="25" t="s">
        <v>32</v>
      </c>
      <c r="B29" s="25"/>
      <c r="C29" s="25"/>
      <c r="D29" s="25">
        <v>1</v>
      </c>
      <c r="E29" s="25" t="s">
        <v>8</v>
      </c>
      <c r="F29" s="39">
        <v>0</v>
      </c>
      <c r="G29" s="46">
        <f>+D29*F29</f>
        <v>0</v>
      </c>
    </row>
    <row r="30" spans="1:9" ht="14.65" thickTop="1" x14ac:dyDescent="0.45">
      <c r="A30" s="25"/>
      <c r="B30" s="25"/>
      <c r="C30" s="25"/>
      <c r="D30" s="25"/>
      <c r="E30" s="25"/>
      <c r="F30" s="25"/>
      <c r="G30" s="25"/>
    </row>
    <row r="31" spans="1:9" ht="14.65" thickBot="1" x14ac:dyDescent="0.5">
      <c r="A31" s="25" t="s">
        <v>33</v>
      </c>
      <c r="B31" s="25"/>
      <c r="C31" s="25"/>
      <c r="D31" s="25"/>
      <c r="E31" s="25"/>
      <c r="F31" s="25"/>
      <c r="G31" s="36">
        <f>+G22+G27+G29</f>
        <v>89.853312500000001</v>
      </c>
    </row>
    <row r="32" spans="1:9" ht="14.65" thickTop="1" x14ac:dyDescent="0.45">
      <c r="A32" s="25"/>
      <c r="B32" s="25"/>
      <c r="C32" s="25"/>
      <c r="D32" s="25"/>
      <c r="E32" s="25"/>
      <c r="F32" s="25"/>
      <c r="G32" s="25"/>
    </row>
    <row r="33" spans="1:7" x14ac:dyDescent="0.45">
      <c r="A33" s="25" t="s">
        <v>34</v>
      </c>
      <c r="B33" s="25"/>
      <c r="C33" s="25"/>
      <c r="D33" s="25"/>
      <c r="E33" s="25"/>
      <c r="F33" s="25"/>
      <c r="G33" s="33">
        <f>+G7-G31</f>
        <v>36.930854166666691</v>
      </c>
    </row>
    <row r="34" spans="1:7" x14ac:dyDescent="0.45">
      <c r="A34" s="25"/>
      <c r="B34" s="25" t="s">
        <v>35</v>
      </c>
      <c r="C34" s="25"/>
      <c r="D34" s="25"/>
      <c r="E34" s="25" t="s">
        <v>6</v>
      </c>
      <c r="F34" s="47" t="str">
        <f>IF(D3=0,"n/a",(G31-G4-G5-G6)/D3)</f>
        <v>n/a</v>
      </c>
      <c r="G34" s="25"/>
    </row>
    <row r="35" spans="1:7" x14ac:dyDescent="0.45">
      <c r="A35" s="25"/>
      <c r="B35" s="25"/>
      <c r="C35" s="25"/>
      <c r="D35" s="25"/>
      <c r="E35" s="25"/>
      <c r="F35" s="25"/>
      <c r="G35" s="25"/>
    </row>
    <row r="36" spans="1:7" x14ac:dyDescent="0.45">
      <c r="A36" s="28" t="s">
        <v>36</v>
      </c>
      <c r="B36" s="28"/>
      <c r="C36" s="28"/>
      <c r="D36" s="28" t="s">
        <v>1</v>
      </c>
      <c r="E36" s="28" t="s">
        <v>2</v>
      </c>
      <c r="F36" s="28" t="s">
        <v>3</v>
      </c>
      <c r="G36" s="28" t="s">
        <v>4</v>
      </c>
    </row>
    <row r="37" spans="1:7" x14ac:dyDescent="0.45">
      <c r="A37" s="25"/>
      <c r="B37" s="25" t="s">
        <v>37</v>
      </c>
      <c r="C37" s="25"/>
      <c r="D37" s="25">
        <v>1</v>
      </c>
      <c r="E37" s="25" t="s">
        <v>8</v>
      </c>
      <c r="F37" s="39">
        <f>'Wheat Dual ~800Lb'!F37</f>
        <v>11.74</v>
      </c>
      <c r="G37" s="33">
        <f>D37*F37</f>
        <v>11.74</v>
      </c>
    </row>
    <row r="38" spans="1:7" x14ac:dyDescent="0.45">
      <c r="A38" s="25"/>
      <c r="B38" s="25" t="s">
        <v>38</v>
      </c>
      <c r="C38" s="25"/>
      <c r="D38" s="25">
        <v>1</v>
      </c>
      <c r="E38" s="25" t="s">
        <v>8</v>
      </c>
      <c r="F38" s="41">
        <v>0</v>
      </c>
      <c r="G38" s="33">
        <f t="shared" ref="G38:G45" si="1">D38*F38</f>
        <v>0</v>
      </c>
    </row>
    <row r="39" spans="1:7" x14ac:dyDescent="0.45">
      <c r="A39" s="25"/>
      <c r="B39" s="25" t="s">
        <v>39</v>
      </c>
      <c r="C39" s="25"/>
      <c r="D39" s="25">
        <v>1</v>
      </c>
      <c r="E39" s="25" t="s">
        <v>8</v>
      </c>
      <c r="F39" s="41">
        <v>0</v>
      </c>
      <c r="G39" s="33">
        <f t="shared" si="1"/>
        <v>0</v>
      </c>
    </row>
    <row r="40" spans="1:7" x14ac:dyDescent="0.45">
      <c r="A40" s="25"/>
      <c r="B40" s="25" t="s">
        <v>40</v>
      </c>
      <c r="C40" s="25"/>
      <c r="D40" s="25">
        <v>1</v>
      </c>
      <c r="E40" s="25" t="s">
        <v>8</v>
      </c>
      <c r="F40" s="41">
        <v>30</v>
      </c>
      <c r="G40" s="33">
        <f t="shared" si="1"/>
        <v>30</v>
      </c>
    </row>
    <row r="41" spans="1:7" x14ac:dyDescent="0.45">
      <c r="A41" s="25"/>
      <c r="B41" s="25" t="s">
        <v>41</v>
      </c>
      <c r="C41" s="25"/>
      <c r="D41" s="25">
        <v>1</v>
      </c>
      <c r="E41" s="25" t="s">
        <v>8</v>
      </c>
      <c r="F41" s="39">
        <v>0</v>
      </c>
      <c r="G41" s="33">
        <f t="shared" si="1"/>
        <v>0</v>
      </c>
    </row>
    <row r="42" spans="1:7" x14ac:dyDescent="0.45">
      <c r="A42" s="25"/>
      <c r="B42" s="25" t="s">
        <v>142</v>
      </c>
      <c r="C42" s="25"/>
      <c r="D42" s="25">
        <v>1</v>
      </c>
      <c r="E42" s="25" t="s">
        <v>8</v>
      </c>
      <c r="F42" s="41">
        <v>0</v>
      </c>
      <c r="G42" s="33">
        <f t="shared" si="1"/>
        <v>0</v>
      </c>
    </row>
    <row r="43" spans="1:7" x14ac:dyDescent="0.45">
      <c r="A43" s="25"/>
      <c r="B43" s="34" t="s">
        <v>43</v>
      </c>
      <c r="C43" s="34"/>
      <c r="D43" s="34">
        <v>1</v>
      </c>
      <c r="E43" s="34" t="s">
        <v>8</v>
      </c>
      <c r="F43" s="41">
        <v>0</v>
      </c>
      <c r="G43" s="33">
        <f t="shared" si="1"/>
        <v>0</v>
      </c>
    </row>
    <row r="44" spans="1:7" x14ac:dyDescent="0.45">
      <c r="A44" s="25"/>
      <c r="B44" s="34" t="s">
        <v>43</v>
      </c>
      <c r="C44" s="34"/>
      <c r="D44" s="34">
        <v>1</v>
      </c>
      <c r="E44" s="34" t="s">
        <v>8</v>
      </c>
      <c r="F44" s="41">
        <v>0</v>
      </c>
      <c r="G44" s="33">
        <f t="shared" si="1"/>
        <v>0</v>
      </c>
    </row>
    <row r="45" spans="1:7" ht="14.65" thickBot="1" x14ac:dyDescent="0.5">
      <c r="A45" s="25"/>
      <c r="B45" s="34" t="s">
        <v>43</v>
      </c>
      <c r="C45" s="34"/>
      <c r="D45" s="34">
        <v>1</v>
      </c>
      <c r="E45" s="34" t="s">
        <v>8</v>
      </c>
      <c r="F45" s="41">
        <v>0</v>
      </c>
      <c r="G45" s="36">
        <f t="shared" si="1"/>
        <v>0</v>
      </c>
    </row>
    <row r="46" spans="1:7" ht="14.65" thickTop="1" x14ac:dyDescent="0.45">
      <c r="A46" s="25"/>
      <c r="B46" s="25"/>
      <c r="C46" s="25"/>
      <c r="D46" s="25"/>
      <c r="E46" s="25"/>
      <c r="F46" s="25"/>
      <c r="G46" s="25"/>
    </row>
    <row r="47" spans="1:7" ht="14.65" thickBot="1" x14ac:dyDescent="0.5">
      <c r="A47" s="25" t="s">
        <v>44</v>
      </c>
      <c r="B47" s="25"/>
      <c r="C47" s="25"/>
      <c r="D47" s="25"/>
      <c r="E47" s="25"/>
      <c r="F47" s="25"/>
      <c r="G47" s="36">
        <f>SUM(G37:G45)</f>
        <v>41.74</v>
      </c>
    </row>
    <row r="48" spans="1:7" ht="14.65" thickTop="1" x14ac:dyDescent="0.45">
      <c r="A48" s="25"/>
      <c r="B48" s="25"/>
      <c r="C48" s="25"/>
      <c r="D48" s="25"/>
      <c r="E48" s="25"/>
      <c r="F48" s="25"/>
      <c r="G48" s="25"/>
    </row>
    <row r="49" spans="1:7" ht="14.65" thickBot="1" x14ac:dyDescent="0.5">
      <c r="A49" s="25" t="s">
        <v>45</v>
      </c>
      <c r="B49" s="25"/>
      <c r="C49" s="25"/>
      <c r="D49" s="25"/>
      <c r="E49" s="25"/>
      <c r="F49" s="25"/>
      <c r="G49" s="36">
        <f>+G31+G47</f>
        <v>131.5933125</v>
      </c>
    </row>
    <row r="50" spans="1:7" ht="14.65" thickTop="1" x14ac:dyDescent="0.45">
      <c r="A50" s="25"/>
      <c r="B50" s="25"/>
      <c r="C50" s="25"/>
      <c r="D50" s="25"/>
      <c r="E50" s="25"/>
      <c r="F50" s="25"/>
      <c r="G50" s="25"/>
    </row>
    <row r="51" spans="1:7" x14ac:dyDescent="0.45">
      <c r="A51" s="25" t="s">
        <v>46</v>
      </c>
      <c r="B51" s="25"/>
      <c r="C51" s="25"/>
      <c r="D51" s="25"/>
      <c r="E51" s="25"/>
      <c r="F51" s="25"/>
      <c r="G51" s="33">
        <f>+G7-G49</f>
        <v>-4.8091458333333037</v>
      </c>
    </row>
    <row r="52" spans="1:7" ht="14.65" thickBot="1" x14ac:dyDescent="0.5">
      <c r="A52" s="48" t="s">
        <v>47</v>
      </c>
      <c r="B52" s="48"/>
      <c r="C52" s="48"/>
      <c r="D52" s="48"/>
      <c r="E52" s="48" t="s">
        <v>6</v>
      </c>
      <c r="F52" s="49" t="str">
        <f>IF(D3=0,"n/a",(G49-G4-G5-G6)/D3)</f>
        <v>n/a</v>
      </c>
      <c r="G52" s="48"/>
    </row>
    <row r="53" spans="1:7" ht="14.65" thickTop="1" x14ac:dyDescent="0.45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A2E33-8DFB-4E05-B562-D7B2458FD1C9}">
  <dimension ref="A1:O53"/>
  <sheetViews>
    <sheetView topLeftCell="A7" workbookViewId="0">
      <selection activeCell="B1" sqref="B1"/>
    </sheetView>
  </sheetViews>
  <sheetFormatPr defaultRowHeight="14.25" x14ac:dyDescent="0.45"/>
  <cols>
    <col min="1" max="2" width="3" style="1" customWidth="1"/>
    <col min="3" max="3" width="27.1328125" style="1" customWidth="1"/>
    <col min="4" max="7" width="10.1328125" style="1" customWidth="1"/>
    <col min="8" max="14" width="9.1328125" style="1"/>
    <col min="15" max="15" width="9.1328125" style="1" customWidth="1"/>
    <col min="16" max="249" width="9.1328125" style="1"/>
    <col min="250" max="251" width="3" style="1" customWidth="1"/>
    <col min="252" max="252" width="27.1328125" style="1" customWidth="1"/>
    <col min="253" max="257" width="10.1328125" style="1" customWidth="1"/>
    <col min="258" max="505" width="9.1328125" style="1"/>
    <col min="506" max="507" width="3" style="1" customWidth="1"/>
    <col min="508" max="508" width="27.1328125" style="1" customWidth="1"/>
    <col min="509" max="513" width="10.1328125" style="1" customWidth="1"/>
    <col min="514" max="761" width="9.1328125" style="1"/>
    <col min="762" max="763" width="3" style="1" customWidth="1"/>
    <col min="764" max="764" width="27.1328125" style="1" customWidth="1"/>
    <col min="765" max="769" width="10.1328125" style="1" customWidth="1"/>
    <col min="770" max="1017" width="9.1328125" style="1"/>
    <col min="1018" max="1019" width="3" style="1" customWidth="1"/>
    <col min="1020" max="1020" width="27.1328125" style="1" customWidth="1"/>
    <col min="1021" max="1025" width="10.1328125" style="1" customWidth="1"/>
    <col min="1026" max="1273" width="9.1328125" style="1"/>
    <col min="1274" max="1275" width="3" style="1" customWidth="1"/>
    <col min="1276" max="1276" width="27.1328125" style="1" customWidth="1"/>
    <col min="1277" max="1281" width="10.1328125" style="1" customWidth="1"/>
    <col min="1282" max="1529" width="9.1328125" style="1"/>
    <col min="1530" max="1531" width="3" style="1" customWidth="1"/>
    <col min="1532" max="1532" width="27.1328125" style="1" customWidth="1"/>
    <col min="1533" max="1537" width="10.1328125" style="1" customWidth="1"/>
    <col min="1538" max="1785" width="9.1328125" style="1"/>
    <col min="1786" max="1787" width="3" style="1" customWidth="1"/>
    <col min="1788" max="1788" width="27.1328125" style="1" customWidth="1"/>
    <col min="1789" max="1793" width="10.1328125" style="1" customWidth="1"/>
    <col min="1794" max="2041" width="9.1328125" style="1"/>
    <col min="2042" max="2043" width="3" style="1" customWidth="1"/>
    <col min="2044" max="2044" width="27.1328125" style="1" customWidth="1"/>
    <col min="2045" max="2049" width="10.1328125" style="1" customWidth="1"/>
    <col min="2050" max="2297" width="9.1328125" style="1"/>
    <col min="2298" max="2299" width="3" style="1" customWidth="1"/>
    <col min="2300" max="2300" width="27.1328125" style="1" customWidth="1"/>
    <col min="2301" max="2305" width="10.1328125" style="1" customWidth="1"/>
    <col min="2306" max="2553" width="9.1328125" style="1"/>
    <col min="2554" max="2555" width="3" style="1" customWidth="1"/>
    <col min="2556" max="2556" width="27.1328125" style="1" customWidth="1"/>
    <col min="2557" max="2561" width="10.1328125" style="1" customWidth="1"/>
    <col min="2562" max="2809" width="9.1328125" style="1"/>
    <col min="2810" max="2811" width="3" style="1" customWidth="1"/>
    <col min="2812" max="2812" width="27.1328125" style="1" customWidth="1"/>
    <col min="2813" max="2817" width="10.1328125" style="1" customWidth="1"/>
    <col min="2818" max="3065" width="9.1328125" style="1"/>
    <col min="3066" max="3067" width="3" style="1" customWidth="1"/>
    <col min="3068" max="3068" width="27.1328125" style="1" customWidth="1"/>
    <col min="3069" max="3073" width="10.1328125" style="1" customWidth="1"/>
    <col min="3074" max="3321" width="9.1328125" style="1"/>
    <col min="3322" max="3323" width="3" style="1" customWidth="1"/>
    <col min="3324" max="3324" width="27.1328125" style="1" customWidth="1"/>
    <col min="3325" max="3329" width="10.1328125" style="1" customWidth="1"/>
    <col min="3330" max="3577" width="9.1328125" style="1"/>
    <col min="3578" max="3579" width="3" style="1" customWidth="1"/>
    <col min="3580" max="3580" width="27.1328125" style="1" customWidth="1"/>
    <col min="3581" max="3585" width="10.1328125" style="1" customWidth="1"/>
    <col min="3586" max="3833" width="9.1328125" style="1"/>
    <col min="3834" max="3835" width="3" style="1" customWidth="1"/>
    <col min="3836" max="3836" width="27.1328125" style="1" customWidth="1"/>
    <col min="3837" max="3841" width="10.1328125" style="1" customWidth="1"/>
    <col min="3842" max="4089" width="9.1328125" style="1"/>
    <col min="4090" max="4091" width="3" style="1" customWidth="1"/>
    <col min="4092" max="4092" width="27.1328125" style="1" customWidth="1"/>
    <col min="4093" max="4097" width="10.1328125" style="1" customWidth="1"/>
    <col min="4098" max="4345" width="9.1328125" style="1"/>
    <col min="4346" max="4347" width="3" style="1" customWidth="1"/>
    <col min="4348" max="4348" width="27.1328125" style="1" customWidth="1"/>
    <col min="4349" max="4353" width="10.1328125" style="1" customWidth="1"/>
    <col min="4354" max="4601" width="9.1328125" style="1"/>
    <col min="4602" max="4603" width="3" style="1" customWidth="1"/>
    <col min="4604" max="4604" width="27.1328125" style="1" customWidth="1"/>
    <col min="4605" max="4609" width="10.1328125" style="1" customWidth="1"/>
    <col min="4610" max="4857" width="9.1328125" style="1"/>
    <col min="4858" max="4859" width="3" style="1" customWidth="1"/>
    <col min="4860" max="4860" width="27.1328125" style="1" customWidth="1"/>
    <col min="4861" max="4865" width="10.1328125" style="1" customWidth="1"/>
    <col min="4866" max="5113" width="9.1328125" style="1"/>
    <col min="5114" max="5115" width="3" style="1" customWidth="1"/>
    <col min="5116" max="5116" width="27.1328125" style="1" customWidth="1"/>
    <col min="5117" max="5121" width="10.1328125" style="1" customWidth="1"/>
    <col min="5122" max="5369" width="9.1328125" style="1"/>
    <col min="5370" max="5371" width="3" style="1" customWidth="1"/>
    <col min="5372" max="5372" width="27.1328125" style="1" customWidth="1"/>
    <col min="5373" max="5377" width="10.1328125" style="1" customWidth="1"/>
    <col min="5378" max="5625" width="9.1328125" style="1"/>
    <col min="5626" max="5627" width="3" style="1" customWidth="1"/>
    <col min="5628" max="5628" width="27.1328125" style="1" customWidth="1"/>
    <col min="5629" max="5633" width="10.1328125" style="1" customWidth="1"/>
    <col min="5634" max="5881" width="9.1328125" style="1"/>
    <col min="5882" max="5883" width="3" style="1" customWidth="1"/>
    <col min="5884" max="5884" width="27.1328125" style="1" customWidth="1"/>
    <col min="5885" max="5889" width="10.1328125" style="1" customWidth="1"/>
    <col min="5890" max="6137" width="9.1328125" style="1"/>
    <col min="6138" max="6139" width="3" style="1" customWidth="1"/>
    <col min="6140" max="6140" width="27.1328125" style="1" customWidth="1"/>
    <col min="6141" max="6145" width="10.1328125" style="1" customWidth="1"/>
    <col min="6146" max="6393" width="9.1328125" style="1"/>
    <col min="6394" max="6395" width="3" style="1" customWidth="1"/>
    <col min="6396" max="6396" width="27.1328125" style="1" customWidth="1"/>
    <col min="6397" max="6401" width="10.1328125" style="1" customWidth="1"/>
    <col min="6402" max="6649" width="9.1328125" style="1"/>
    <col min="6650" max="6651" width="3" style="1" customWidth="1"/>
    <col min="6652" max="6652" width="27.1328125" style="1" customWidth="1"/>
    <col min="6653" max="6657" width="10.1328125" style="1" customWidth="1"/>
    <col min="6658" max="6905" width="9.1328125" style="1"/>
    <col min="6906" max="6907" width="3" style="1" customWidth="1"/>
    <col min="6908" max="6908" width="27.1328125" style="1" customWidth="1"/>
    <col min="6909" max="6913" width="10.1328125" style="1" customWidth="1"/>
    <col min="6914" max="7161" width="9.1328125" style="1"/>
    <col min="7162" max="7163" width="3" style="1" customWidth="1"/>
    <col min="7164" max="7164" width="27.1328125" style="1" customWidth="1"/>
    <col min="7165" max="7169" width="10.1328125" style="1" customWidth="1"/>
    <col min="7170" max="7417" width="9.1328125" style="1"/>
    <col min="7418" max="7419" width="3" style="1" customWidth="1"/>
    <col min="7420" max="7420" width="27.1328125" style="1" customWidth="1"/>
    <col min="7421" max="7425" width="10.1328125" style="1" customWidth="1"/>
    <col min="7426" max="7673" width="9.1328125" style="1"/>
    <col min="7674" max="7675" width="3" style="1" customWidth="1"/>
    <col min="7676" max="7676" width="27.1328125" style="1" customWidth="1"/>
    <col min="7677" max="7681" width="10.1328125" style="1" customWidth="1"/>
    <col min="7682" max="7929" width="9.1328125" style="1"/>
    <col min="7930" max="7931" width="3" style="1" customWidth="1"/>
    <col min="7932" max="7932" width="27.1328125" style="1" customWidth="1"/>
    <col min="7933" max="7937" width="10.1328125" style="1" customWidth="1"/>
    <col min="7938" max="8185" width="9.1328125" style="1"/>
    <col min="8186" max="8187" width="3" style="1" customWidth="1"/>
    <col min="8188" max="8188" width="27.1328125" style="1" customWidth="1"/>
    <col min="8189" max="8193" width="10.1328125" style="1" customWidth="1"/>
    <col min="8194" max="8441" width="9.1328125" style="1"/>
    <col min="8442" max="8443" width="3" style="1" customWidth="1"/>
    <col min="8444" max="8444" width="27.1328125" style="1" customWidth="1"/>
    <col min="8445" max="8449" width="10.1328125" style="1" customWidth="1"/>
    <col min="8450" max="8697" width="9.1328125" style="1"/>
    <col min="8698" max="8699" width="3" style="1" customWidth="1"/>
    <col min="8700" max="8700" width="27.1328125" style="1" customWidth="1"/>
    <col min="8701" max="8705" width="10.1328125" style="1" customWidth="1"/>
    <col min="8706" max="8953" width="9.1328125" style="1"/>
    <col min="8954" max="8955" width="3" style="1" customWidth="1"/>
    <col min="8956" max="8956" width="27.1328125" style="1" customWidth="1"/>
    <col min="8957" max="8961" width="10.1328125" style="1" customWidth="1"/>
    <col min="8962" max="9209" width="9.1328125" style="1"/>
    <col min="9210" max="9211" width="3" style="1" customWidth="1"/>
    <col min="9212" max="9212" width="27.1328125" style="1" customWidth="1"/>
    <col min="9213" max="9217" width="10.1328125" style="1" customWidth="1"/>
    <col min="9218" max="9465" width="9.1328125" style="1"/>
    <col min="9466" max="9467" width="3" style="1" customWidth="1"/>
    <col min="9468" max="9468" width="27.1328125" style="1" customWidth="1"/>
    <col min="9469" max="9473" width="10.1328125" style="1" customWidth="1"/>
    <col min="9474" max="9721" width="9.1328125" style="1"/>
    <col min="9722" max="9723" width="3" style="1" customWidth="1"/>
    <col min="9724" max="9724" width="27.1328125" style="1" customWidth="1"/>
    <col min="9725" max="9729" width="10.1328125" style="1" customWidth="1"/>
    <col min="9730" max="9977" width="9.1328125" style="1"/>
    <col min="9978" max="9979" width="3" style="1" customWidth="1"/>
    <col min="9980" max="9980" width="27.1328125" style="1" customWidth="1"/>
    <col min="9981" max="9985" width="10.1328125" style="1" customWidth="1"/>
    <col min="9986" max="10233" width="9.1328125" style="1"/>
    <col min="10234" max="10235" width="3" style="1" customWidth="1"/>
    <col min="10236" max="10236" width="27.1328125" style="1" customWidth="1"/>
    <col min="10237" max="10241" width="10.1328125" style="1" customWidth="1"/>
    <col min="10242" max="10489" width="9.1328125" style="1"/>
    <col min="10490" max="10491" width="3" style="1" customWidth="1"/>
    <col min="10492" max="10492" width="27.1328125" style="1" customWidth="1"/>
    <col min="10493" max="10497" width="10.1328125" style="1" customWidth="1"/>
    <col min="10498" max="10745" width="9.1328125" style="1"/>
    <col min="10746" max="10747" width="3" style="1" customWidth="1"/>
    <col min="10748" max="10748" width="27.1328125" style="1" customWidth="1"/>
    <col min="10749" max="10753" width="10.1328125" style="1" customWidth="1"/>
    <col min="10754" max="11001" width="9.1328125" style="1"/>
    <col min="11002" max="11003" width="3" style="1" customWidth="1"/>
    <col min="11004" max="11004" width="27.1328125" style="1" customWidth="1"/>
    <col min="11005" max="11009" width="10.1328125" style="1" customWidth="1"/>
    <col min="11010" max="11257" width="9.1328125" style="1"/>
    <col min="11258" max="11259" width="3" style="1" customWidth="1"/>
    <col min="11260" max="11260" width="27.1328125" style="1" customWidth="1"/>
    <col min="11261" max="11265" width="10.1328125" style="1" customWidth="1"/>
    <col min="11266" max="11513" width="9.1328125" style="1"/>
    <col min="11514" max="11515" width="3" style="1" customWidth="1"/>
    <col min="11516" max="11516" width="27.1328125" style="1" customWidth="1"/>
    <col min="11517" max="11521" width="10.1328125" style="1" customWidth="1"/>
    <col min="11522" max="11769" width="9.1328125" style="1"/>
    <col min="11770" max="11771" width="3" style="1" customWidth="1"/>
    <col min="11772" max="11772" width="27.1328125" style="1" customWidth="1"/>
    <col min="11773" max="11777" width="10.1328125" style="1" customWidth="1"/>
    <col min="11778" max="12025" width="9.1328125" style="1"/>
    <col min="12026" max="12027" width="3" style="1" customWidth="1"/>
    <col min="12028" max="12028" width="27.1328125" style="1" customWidth="1"/>
    <col min="12029" max="12033" width="10.1328125" style="1" customWidth="1"/>
    <col min="12034" max="12281" width="9.1328125" style="1"/>
    <col min="12282" max="12283" width="3" style="1" customWidth="1"/>
    <col min="12284" max="12284" width="27.1328125" style="1" customWidth="1"/>
    <col min="12285" max="12289" width="10.1328125" style="1" customWidth="1"/>
    <col min="12290" max="12537" width="9.1328125" style="1"/>
    <col min="12538" max="12539" width="3" style="1" customWidth="1"/>
    <col min="12540" max="12540" width="27.1328125" style="1" customWidth="1"/>
    <col min="12541" max="12545" width="10.1328125" style="1" customWidth="1"/>
    <col min="12546" max="12793" width="9.1328125" style="1"/>
    <col min="12794" max="12795" width="3" style="1" customWidth="1"/>
    <col min="12796" max="12796" width="27.1328125" style="1" customWidth="1"/>
    <col min="12797" max="12801" width="10.1328125" style="1" customWidth="1"/>
    <col min="12802" max="13049" width="9.1328125" style="1"/>
    <col min="13050" max="13051" width="3" style="1" customWidth="1"/>
    <col min="13052" max="13052" width="27.1328125" style="1" customWidth="1"/>
    <col min="13053" max="13057" width="10.1328125" style="1" customWidth="1"/>
    <col min="13058" max="13305" width="9.1328125" style="1"/>
    <col min="13306" max="13307" width="3" style="1" customWidth="1"/>
    <col min="13308" max="13308" width="27.1328125" style="1" customWidth="1"/>
    <col min="13309" max="13313" width="10.1328125" style="1" customWidth="1"/>
    <col min="13314" max="13561" width="9.1328125" style="1"/>
    <col min="13562" max="13563" width="3" style="1" customWidth="1"/>
    <col min="13564" max="13564" width="27.1328125" style="1" customWidth="1"/>
    <col min="13565" max="13569" width="10.1328125" style="1" customWidth="1"/>
    <col min="13570" max="13817" width="9.1328125" style="1"/>
    <col min="13818" max="13819" width="3" style="1" customWidth="1"/>
    <col min="13820" max="13820" width="27.1328125" style="1" customWidth="1"/>
    <col min="13821" max="13825" width="10.1328125" style="1" customWidth="1"/>
    <col min="13826" max="14073" width="9.1328125" style="1"/>
    <col min="14074" max="14075" width="3" style="1" customWidth="1"/>
    <col min="14076" max="14076" width="27.1328125" style="1" customWidth="1"/>
    <col min="14077" max="14081" width="10.1328125" style="1" customWidth="1"/>
    <col min="14082" max="14329" width="9.1328125" style="1"/>
    <col min="14330" max="14331" width="3" style="1" customWidth="1"/>
    <col min="14332" max="14332" width="27.1328125" style="1" customWidth="1"/>
    <col min="14333" max="14337" width="10.1328125" style="1" customWidth="1"/>
    <col min="14338" max="14585" width="9.1328125" style="1"/>
    <col min="14586" max="14587" width="3" style="1" customWidth="1"/>
    <col min="14588" max="14588" width="27.1328125" style="1" customWidth="1"/>
    <col min="14589" max="14593" width="10.1328125" style="1" customWidth="1"/>
    <col min="14594" max="14841" width="9.1328125" style="1"/>
    <col min="14842" max="14843" width="3" style="1" customWidth="1"/>
    <col min="14844" max="14844" width="27.1328125" style="1" customWidth="1"/>
    <col min="14845" max="14849" width="10.1328125" style="1" customWidth="1"/>
    <col min="14850" max="15097" width="9.1328125" style="1"/>
    <col min="15098" max="15099" width="3" style="1" customWidth="1"/>
    <col min="15100" max="15100" width="27.1328125" style="1" customWidth="1"/>
    <col min="15101" max="15105" width="10.1328125" style="1" customWidth="1"/>
    <col min="15106" max="15353" width="9.1328125" style="1"/>
    <col min="15354" max="15355" width="3" style="1" customWidth="1"/>
    <col min="15356" max="15356" width="27.1328125" style="1" customWidth="1"/>
    <col min="15357" max="15361" width="10.1328125" style="1" customWidth="1"/>
    <col min="15362" max="15609" width="9.1328125" style="1"/>
    <col min="15610" max="15611" width="3" style="1" customWidth="1"/>
    <col min="15612" max="15612" width="27.1328125" style="1" customWidth="1"/>
    <col min="15613" max="15617" width="10.1328125" style="1" customWidth="1"/>
    <col min="15618" max="15865" width="9.1328125" style="1"/>
    <col min="15866" max="15867" width="3" style="1" customWidth="1"/>
    <col min="15868" max="15868" width="27.1328125" style="1" customWidth="1"/>
    <col min="15869" max="15873" width="10.1328125" style="1" customWidth="1"/>
    <col min="15874" max="16121" width="9.1328125" style="1"/>
    <col min="16122" max="16123" width="3" style="1" customWidth="1"/>
    <col min="16124" max="16124" width="27.1328125" style="1" customWidth="1"/>
    <col min="16125" max="16129" width="10.1328125" style="1" customWidth="1"/>
    <col min="16130" max="16377" width="9.1328125" style="1"/>
    <col min="16378" max="16384" width="9.1328125" style="1" customWidth="1"/>
  </cols>
  <sheetData>
    <row r="1" spans="1:15" x14ac:dyDescent="0.45">
      <c r="A1" s="25"/>
      <c r="B1" s="26" t="s">
        <v>91</v>
      </c>
      <c r="C1" s="25"/>
      <c r="D1" s="27"/>
      <c r="E1" s="27"/>
      <c r="F1" s="27"/>
      <c r="G1" s="27" t="e">
        <f>+Assumptions!#REF!</f>
        <v>#REF!</v>
      </c>
    </row>
    <row r="2" spans="1:15" x14ac:dyDescent="0.45">
      <c r="A2" s="28" t="s">
        <v>0</v>
      </c>
      <c r="B2" s="28"/>
      <c r="C2" s="28"/>
      <c r="D2" s="29" t="s">
        <v>1</v>
      </c>
      <c r="E2" s="29" t="s">
        <v>2</v>
      </c>
      <c r="F2" s="29" t="s">
        <v>3</v>
      </c>
      <c r="G2" s="29" t="s">
        <v>4</v>
      </c>
    </row>
    <row r="3" spans="1:15" x14ac:dyDescent="0.45">
      <c r="A3" s="25"/>
      <c r="B3" s="25" t="s">
        <v>5</v>
      </c>
      <c r="C3" s="25"/>
      <c r="D3" s="30">
        <v>60</v>
      </c>
      <c r="E3" s="31" t="s">
        <v>6</v>
      </c>
      <c r="F3" s="58">
        <f>+Assumptions!F11</f>
        <v>4.5999999999999996</v>
      </c>
      <c r="G3" s="33">
        <f>D3*F3</f>
        <v>276</v>
      </c>
      <c r="J3" s="1" t="s">
        <v>51</v>
      </c>
      <c r="K3" s="1" t="s">
        <v>52</v>
      </c>
      <c r="L3" s="1" t="s">
        <v>48</v>
      </c>
      <c r="N3" s="1" t="s">
        <v>49</v>
      </c>
      <c r="O3" s="1" t="s">
        <v>53</v>
      </c>
    </row>
    <row r="4" spans="1:15" x14ac:dyDescent="0.45">
      <c r="A4" s="25"/>
      <c r="B4" s="34" t="s">
        <v>55</v>
      </c>
      <c r="C4" s="35"/>
      <c r="D4" s="75">
        <f>+M4</f>
        <v>83.25</v>
      </c>
      <c r="E4" s="31" t="s">
        <v>72</v>
      </c>
      <c r="F4" s="58">
        <f>+N4</f>
        <v>0.55000000000000004</v>
      </c>
      <c r="G4" s="33">
        <f>D4*F4</f>
        <v>45.787500000000001</v>
      </c>
      <c r="J4" s="4">
        <f>+'Wheat Graze Out'!J4</f>
        <v>111</v>
      </c>
      <c r="K4" s="4">
        <f>+'Wheat Graze Out'!K4</f>
        <v>1.5</v>
      </c>
      <c r="L4" s="4">
        <f>+'Wheat Graze Out'!L4</f>
        <v>2</v>
      </c>
      <c r="M4" s="4">
        <f>+J4*K4/L4</f>
        <v>83.25</v>
      </c>
      <c r="N4" s="8">
        <f>+'Wheat Graze Out'!N4</f>
        <v>0.55000000000000004</v>
      </c>
      <c r="O4" s="1">
        <f>+N4*M4</f>
        <v>45.787500000000001</v>
      </c>
    </row>
    <row r="5" spans="1:15" x14ac:dyDescent="0.45">
      <c r="A5" s="25"/>
      <c r="B5" s="34" t="s">
        <v>7</v>
      </c>
      <c r="C5" s="35"/>
      <c r="D5" s="34">
        <v>1</v>
      </c>
      <c r="E5" s="31" t="s">
        <v>8</v>
      </c>
      <c r="F5" s="32">
        <v>0</v>
      </c>
      <c r="G5" s="33">
        <f>D5*F5</f>
        <v>0</v>
      </c>
      <c r="J5" s="4">
        <f>+'Wheat Graze Out'!J5</f>
        <v>47</v>
      </c>
      <c r="K5" s="4">
        <f>+'Wheat Graze Out'!K5</f>
        <v>2.35</v>
      </c>
      <c r="L5" s="4">
        <f>+'Wheat Graze Out'!L5</f>
        <v>0.75</v>
      </c>
      <c r="M5" s="4">
        <f>+J5*K5/L5</f>
        <v>147.26666666666668</v>
      </c>
      <c r="N5" s="1">
        <f>N4</f>
        <v>0.55000000000000004</v>
      </c>
      <c r="O5" s="1">
        <f>+N5*M5</f>
        <v>80.996666666666684</v>
      </c>
    </row>
    <row r="6" spans="1:15" ht="14.65" thickBot="1" x14ac:dyDescent="0.5">
      <c r="A6" s="25"/>
      <c r="B6" s="34" t="s">
        <v>7</v>
      </c>
      <c r="C6" s="35"/>
      <c r="D6" s="34">
        <v>1</v>
      </c>
      <c r="E6" s="31" t="s">
        <v>8</v>
      </c>
      <c r="F6" s="32">
        <v>0</v>
      </c>
      <c r="G6" s="36">
        <f>D6*F6</f>
        <v>0</v>
      </c>
    </row>
    <row r="7" spans="1:15" ht="14.65" thickTop="1" x14ac:dyDescent="0.45">
      <c r="A7" s="37" t="s">
        <v>9</v>
      </c>
      <c r="B7" s="37"/>
      <c r="C7" s="37"/>
      <c r="D7" s="37"/>
      <c r="E7" s="37"/>
      <c r="F7" s="37"/>
      <c r="G7" s="38">
        <f>SUM(G3:G6)</f>
        <v>321.78750000000002</v>
      </c>
    </row>
    <row r="8" spans="1:15" x14ac:dyDescent="0.45">
      <c r="A8" s="28" t="s">
        <v>10</v>
      </c>
      <c r="B8" s="28"/>
      <c r="C8" s="28"/>
      <c r="D8" s="28" t="s">
        <v>1</v>
      </c>
      <c r="E8" s="28" t="s">
        <v>2</v>
      </c>
      <c r="F8" s="28" t="s">
        <v>3</v>
      </c>
      <c r="G8" s="28" t="s">
        <v>4</v>
      </c>
    </row>
    <row r="9" spans="1:15" x14ac:dyDescent="0.45">
      <c r="A9" s="25" t="s">
        <v>11</v>
      </c>
      <c r="B9" s="25"/>
      <c r="C9" s="25"/>
      <c r="D9" s="25"/>
      <c r="E9" s="25"/>
      <c r="F9" s="25"/>
      <c r="G9" s="25"/>
    </row>
    <row r="10" spans="1:15" x14ac:dyDescent="0.45">
      <c r="A10" s="25"/>
      <c r="B10" s="25" t="s">
        <v>12</v>
      </c>
      <c r="C10" s="25"/>
      <c r="D10" s="25">
        <v>1</v>
      </c>
      <c r="E10" s="27" t="s">
        <v>8</v>
      </c>
      <c r="F10" s="39">
        <v>10</v>
      </c>
      <c r="G10" s="33">
        <f>D10*F10</f>
        <v>10</v>
      </c>
    </row>
    <row r="11" spans="1:15" x14ac:dyDescent="0.45">
      <c r="A11" s="25"/>
      <c r="B11" s="25" t="s">
        <v>13</v>
      </c>
      <c r="C11" s="25"/>
      <c r="D11" s="25">
        <v>1</v>
      </c>
      <c r="E11" s="27" t="s">
        <v>8</v>
      </c>
      <c r="F11" s="39">
        <v>60</v>
      </c>
      <c r="G11" s="33">
        <f t="shared" ref="G11:G20" si="0">D11*F11</f>
        <v>60</v>
      </c>
    </row>
    <row r="12" spans="1:15" x14ac:dyDescent="0.45">
      <c r="A12" s="25"/>
      <c r="B12" s="25" t="s">
        <v>14</v>
      </c>
      <c r="C12" s="25"/>
      <c r="D12" s="25">
        <v>1</v>
      </c>
      <c r="E12" s="27" t="s">
        <v>8</v>
      </c>
      <c r="F12" s="39">
        <v>16</v>
      </c>
      <c r="G12" s="33">
        <f t="shared" si="0"/>
        <v>16</v>
      </c>
    </row>
    <row r="13" spans="1:15" x14ac:dyDescent="0.45">
      <c r="A13" s="25"/>
      <c r="B13" s="25" t="s">
        <v>15</v>
      </c>
      <c r="C13" s="25"/>
      <c r="D13" s="25">
        <v>1</v>
      </c>
      <c r="E13" s="27" t="s">
        <v>8</v>
      </c>
      <c r="F13" s="39">
        <v>70</v>
      </c>
      <c r="G13" s="33">
        <f t="shared" si="0"/>
        <v>70</v>
      </c>
    </row>
    <row r="14" spans="1:15" x14ac:dyDescent="0.45">
      <c r="A14" s="25"/>
      <c r="B14" s="25" t="s">
        <v>16</v>
      </c>
      <c r="C14" s="25"/>
      <c r="D14" s="25">
        <v>1</v>
      </c>
      <c r="E14" s="27" t="s">
        <v>8</v>
      </c>
      <c r="F14" s="39">
        <v>19</v>
      </c>
      <c r="G14" s="33">
        <f t="shared" si="0"/>
        <v>19</v>
      </c>
    </row>
    <row r="15" spans="1:15" x14ac:dyDescent="0.45">
      <c r="A15" s="25"/>
      <c r="B15" s="25" t="s">
        <v>17</v>
      </c>
      <c r="C15" s="25"/>
      <c r="D15" s="40">
        <v>1.6</v>
      </c>
      <c r="E15" s="27" t="s">
        <v>18</v>
      </c>
      <c r="F15" s="41">
        <v>2.2000000000000002</v>
      </c>
      <c r="G15" s="33">
        <f>D15*F15</f>
        <v>3.5200000000000005</v>
      </c>
    </row>
    <row r="16" spans="1:15" x14ac:dyDescent="0.45">
      <c r="A16" s="25"/>
      <c r="B16" s="25" t="s">
        <v>19</v>
      </c>
      <c r="C16" s="25"/>
      <c r="D16" s="42">
        <v>0.1</v>
      </c>
      <c r="E16" s="27" t="s">
        <v>20</v>
      </c>
      <c r="F16" s="39">
        <f>+G15</f>
        <v>3.5200000000000005</v>
      </c>
      <c r="G16" s="33">
        <f t="shared" si="0"/>
        <v>0.35200000000000009</v>
      </c>
    </row>
    <row r="17" spans="1:9" x14ac:dyDescent="0.45">
      <c r="A17" s="25"/>
      <c r="B17" s="25" t="s">
        <v>21</v>
      </c>
      <c r="C17" s="25"/>
      <c r="D17" s="25">
        <v>1</v>
      </c>
      <c r="E17" s="27" t="s">
        <v>8</v>
      </c>
      <c r="F17" s="39">
        <f>25.25+6+0.5+3</f>
        <v>34.75</v>
      </c>
      <c r="G17" s="33">
        <f t="shared" si="0"/>
        <v>34.75</v>
      </c>
    </row>
    <row r="18" spans="1:9" x14ac:dyDescent="0.45">
      <c r="A18" s="25"/>
      <c r="B18" s="25" t="s">
        <v>22</v>
      </c>
      <c r="C18" s="25"/>
      <c r="D18" s="40">
        <v>0.1</v>
      </c>
      <c r="E18" s="27" t="s">
        <v>23</v>
      </c>
      <c r="F18" s="41">
        <v>12</v>
      </c>
      <c r="G18" s="33">
        <f t="shared" si="0"/>
        <v>1.2000000000000002</v>
      </c>
    </row>
    <row r="19" spans="1:9" x14ac:dyDescent="0.45">
      <c r="A19" s="25"/>
      <c r="B19" s="25" t="s">
        <v>24</v>
      </c>
      <c r="C19" s="25"/>
      <c r="D19" s="25">
        <v>1</v>
      </c>
      <c r="E19" s="27" t="s">
        <v>8</v>
      </c>
      <c r="F19" s="39">
        <v>0</v>
      </c>
      <c r="G19" s="33">
        <f t="shared" si="0"/>
        <v>0</v>
      </c>
    </row>
    <row r="20" spans="1:9" x14ac:dyDescent="0.45">
      <c r="A20" s="25"/>
      <c r="B20" s="25" t="s">
        <v>25</v>
      </c>
      <c r="C20" s="25"/>
      <c r="D20" s="25">
        <v>1</v>
      </c>
      <c r="E20" s="27" t="s">
        <v>8</v>
      </c>
      <c r="F20" s="39">
        <v>0</v>
      </c>
      <c r="G20" s="33">
        <f t="shared" si="0"/>
        <v>0</v>
      </c>
    </row>
    <row r="21" spans="1:9" ht="14.65" thickBot="1" x14ac:dyDescent="0.5">
      <c r="A21" s="25"/>
      <c r="B21" s="25" t="s">
        <v>26</v>
      </c>
      <c r="C21" s="25"/>
      <c r="D21" s="25"/>
      <c r="E21" s="25"/>
      <c r="F21" s="78">
        <f>+Assumptions!C3</f>
        <v>6.5000000000000002E-2</v>
      </c>
      <c r="G21" s="43">
        <f>+SUM(G10:G20)*F21/12*6</f>
        <v>6.9817149999999994</v>
      </c>
      <c r="I21" s="5"/>
    </row>
    <row r="22" spans="1:9" x14ac:dyDescent="0.45">
      <c r="A22" s="25"/>
      <c r="B22" s="25"/>
      <c r="C22" s="25"/>
      <c r="D22" s="25"/>
      <c r="E22" s="25"/>
      <c r="F22" s="25"/>
      <c r="G22" s="33">
        <f>SUM(G10:G21)</f>
        <v>221.80371500000001</v>
      </c>
    </row>
    <row r="23" spans="1:9" x14ac:dyDescent="0.45">
      <c r="A23" s="25" t="s">
        <v>27</v>
      </c>
      <c r="B23" s="25"/>
      <c r="C23" s="25"/>
      <c r="D23" s="25"/>
      <c r="E23" s="25"/>
      <c r="F23" s="25"/>
      <c r="G23" s="25"/>
      <c r="I23" s="5"/>
    </row>
    <row r="24" spans="1:9" x14ac:dyDescent="0.45">
      <c r="A24" s="25"/>
      <c r="B24" s="25" t="s">
        <v>28</v>
      </c>
      <c r="C24" s="25"/>
      <c r="D24" s="25">
        <v>1</v>
      </c>
      <c r="E24" s="25" t="s">
        <v>8</v>
      </c>
      <c r="F24" s="39">
        <f>24+2.5+D3*0.24</f>
        <v>40.9</v>
      </c>
      <c r="G24" s="33">
        <f>+D24*F24</f>
        <v>40.9</v>
      </c>
    </row>
    <row r="25" spans="1:9" x14ac:dyDescent="0.45">
      <c r="A25" s="25"/>
      <c r="B25" s="25" t="s">
        <v>29</v>
      </c>
      <c r="C25" s="25"/>
      <c r="D25" s="25"/>
      <c r="E25" s="25"/>
      <c r="F25" s="44"/>
      <c r="G25" s="25"/>
    </row>
    <row r="26" spans="1:9" ht="14.65" thickBot="1" x14ac:dyDescent="0.5">
      <c r="A26" s="25"/>
      <c r="B26" s="25"/>
      <c r="C26" s="25" t="s">
        <v>30</v>
      </c>
      <c r="D26" s="25">
        <v>1</v>
      </c>
      <c r="E26" s="25" t="s">
        <v>8</v>
      </c>
      <c r="F26" s="39">
        <v>0</v>
      </c>
      <c r="G26" s="43">
        <f>+D26*F26</f>
        <v>0</v>
      </c>
    </row>
    <row r="27" spans="1:9" ht="14.65" thickBot="1" x14ac:dyDescent="0.5">
      <c r="A27" s="25"/>
      <c r="B27" s="25"/>
      <c r="C27" s="25"/>
      <c r="D27" s="25" t="s">
        <v>31</v>
      </c>
      <c r="E27" s="25"/>
      <c r="F27" s="44"/>
      <c r="G27" s="45">
        <f>+G24+G26</f>
        <v>40.9</v>
      </c>
    </row>
    <row r="28" spans="1:9" ht="14.65" thickTop="1" x14ac:dyDescent="0.45">
      <c r="A28" s="25"/>
      <c r="B28" s="25"/>
      <c r="C28" s="25"/>
      <c r="D28" s="25"/>
      <c r="E28" s="25"/>
      <c r="F28" s="44"/>
      <c r="G28" s="25"/>
    </row>
    <row r="29" spans="1:9" ht="14.65" thickBot="1" x14ac:dyDescent="0.5">
      <c r="A29" s="25" t="s">
        <v>32</v>
      </c>
      <c r="B29" s="25"/>
      <c r="C29" s="25"/>
      <c r="D29" s="25">
        <v>1</v>
      </c>
      <c r="E29" s="25" t="s">
        <v>8</v>
      </c>
      <c r="F29" s="39">
        <v>0</v>
      </c>
      <c r="G29" s="46">
        <f>+D29*F29</f>
        <v>0</v>
      </c>
    </row>
    <row r="30" spans="1:9" ht="14.65" thickTop="1" x14ac:dyDescent="0.45">
      <c r="A30" s="25"/>
      <c r="B30" s="25"/>
      <c r="C30" s="25"/>
      <c r="D30" s="25"/>
      <c r="E30" s="25"/>
      <c r="F30" s="25"/>
      <c r="G30" s="25"/>
    </row>
    <row r="31" spans="1:9" ht="14.65" thickBot="1" x14ac:dyDescent="0.5">
      <c r="A31" s="25" t="s">
        <v>33</v>
      </c>
      <c r="B31" s="25"/>
      <c r="C31" s="25"/>
      <c r="D31" s="25"/>
      <c r="E31" s="25"/>
      <c r="F31" s="25"/>
      <c r="G31" s="36">
        <f>+G22+G27+G29</f>
        <v>262.70371499999999</v>
      </c>
    </row>
    <row r="32" spans="1:9" ht="14.65" thickTop="1" x14ac:dyDescent="0.45">
      <c r="A32" s="25"/>
      <c r="B32" s="25"/>
      <c r="C32" s="25"/>
      <c r="D32" s="25"/>
      <c r="E32" s="25"/>
      <c r="F32" s="25"/>
      <c r="G32" s="25"/>
    </row>
    <row r="33" spans="1:7" x14ac:dyDescent="0.45">
      <c r="A33" s="25" t="s">
        <v>34</v>
      </c>
      <c r="B33" s="25"/>
      <c r="C33" s="25"/>
      <c r="D33" s="25"/>
      <c r="E33" s="25"/>
      <c r="F33" s="25"/>
      <c r="G33" s="33">
        <f>+G7-G31</f>
        <v>59.083785000000034</v>
      </c>
    </row>
    <row r="34" spans="1:7" x14ac:dyDescent="0.45">
      <c r="A34" s="25"/>
      <c r="B34" s="25" t="s">
        <v>35</v>
      </c>
      <c r="C34" s="25"/>
      <c r="D34" s="25"/>
      <c r="E34" s="25" t="s">
        <v>6</v>
      </c>
      <c r="F34" s="47">
        <f>IF(D3=0,"n/a",(G31-G4-G5-G6)/D3)</f>
        <v>3.61527025</v>
      </c>
      <c r="G34" s="25"/>
    </row>
    <row r="35" spans="1:7" x14ac:dyDescent="0.45">
      <c r="A35" s="25"/>
      <c r="B35" s="25"/>
      <c r="C35" s="25"/>
      <c r="D35" s="25"/>
      <c r="E35" s="25"/>
      <c r="F35" s="25"/>
      <c r="G35" s="25"/>
    </row>
    <row r="36" spans="1:7" x14ac:dyDescent="0.45">
      <c r="A36" s="28" t="s">
        <v>36</v>
      </c>
      <c r="B36" s="28"/>
      <c r="C36" s="28"/>
      <c r="D36" s="28" t="s">
        <v>1</v>
      </c>
      <c r="E36" s="28" t="s">
        <v>2</v>
      </c>
      <c r="F36" s="28" t="s">
        <v>3</v>
      </c>
      <c r="G36" s="28" t="s">
        <v>4</v>
      </c>
    </row>
    <row r="37" spans="1:7" x14ac:dyDescent="0.45">
      <c r="A37" s="25"/>
      <c r="B37" s="25" t="s">
        <v>37</v>
      </c>
      <c r="C37" s="25"/>
      <c r="D37" s="25">
        <v>1</v>
      </c>
      <c r="E37" s="25" t="s">
        <v>8</v>
      </c>
      <c r="F37" s="39">
        <f>+Cotton!F37</f>
        <v>38.590000000000003</v>
      </c>
      <c r="G37" s="33">
        <f>D37*F37</f>
        <v>38.590000000000003</v>
      </c>
    </row>
    <row r="38" spans="1:7" x14ac:dyDescent="0.45">
      <c r="A38" s="25"/>
      <c r="B38" s="25" t="s">
        <v>38</v>
      </c>
      <c r="C38" s="25"/>
      <c r="D38" s="25">
        <v>1</v>
      </c>
      <c r="E38" s="25" t="s">
        <v>8</v>
      </c>
      <c r="F38" s="39">
        <f>+Cotton!F38</f>
        <v>0</v>
      </c>
      <c r="G38" s="33">
        <f t="shared" ref="G38:G45" si="1">D38*F38</f>
        <v>0</v>
      </c>
    </row>
    <row r="39" spans="1:7" x14ac:dyDescent="0.45">
      <c r="A39" s="25"/>
      <c r="B39" s="25" t="s">
        <v>39</v>
      </c>
      <c r="C39" s="25"/>
      <c r="D39" s="25">
        <v>1</v>
      </c>
      <c r="E39" s="25" t="s">
        <v>8</v>
      </c>
      <c r="F39" s="39">
        <f>+Cotton!F39</f>
        <v>0</v>
      </c>
      <c r="G39" s="33">
        <f t="shared" si="1"/>
        <v>0</v>
      </c>
    </row>
    <row r="40" spans="1:7" x14ac:dyDescent="0.45">
      <c r="A40" s="25"/>
      <c r="B40" s="25" t="s">
        <v>40</v>
      </c>
      <c r="C40" s="25"/>
      <c r="D40" s="25">
        <v>1</v>
      </c>
      <c r="E40" s="25" t="s">
        <v>8</v>
      </c>
      <c r="F40" s="39">
        <f>+Cotton!F40</f>
        <v>30</v>
      </c>
      <c r="G40" s="33">
        <f t="shared" si="1"/>
        <v>30</v>
      </c>
    </row>
    <row r="41" spans="1:7" x14ac:dyDescent="0.45">
      <c r="A41" s="25"/>
      <c r="B41" s="25" t="s">
        <v>41</v>
      </c>
      <c r="C41" s="25"/>
      <c r="D41" s="25">
        <v>1</v>
      </c>
      <c r="E41" s="25" t="s">
        <v>8</v>
      </c>
      <c r="F41" s="39">
        <f>+Cotton!F41</f>
        <v>0</v>
      </c>
      <c r="G41" s="33">
        <f t="shared" si="1"/>
        <v>0</v>
      </c>
    </row>
    <row r="42" spans="1:7" x14ac:dyDescent="0.45">
      <c r="A42" s="25"/>
      <c r="B42" s="25" t="s">
        <v>42</v>
      </c>
      <c r="C42" s="25"/>
      <c r="D42" s="25">
        <v>1</v>
      </c>
      <c r="E42" s="25" t="s">
        <v>8</v>
      </c>
      <c r="F42" s="39">
        <f>+Cotton!F42</f>
        <v>12.14</v>
      </c>
      <c r="G42" s="33">
        <f t="shared" si="1"/>
        <v>12.14</v>
      </c>
    </row>
    <row r="43" spans="1:7" x14ac:dyDescent="0.45">
      <c r="A43" s="25"/>
      <c r="B43" s="34" t="s">
        <v>43</v>
      </c>
      <c r="C43" s="34"/>
      <c r="D43" s="34">
        <v>1</v>
      </c>
      <c r="E43" s="34" t="s">
        <v>8</v>
      </c>
      <c r="F43" s="39">
        <f>+Cotton!F43</f>
        <v>0</v>
      </c>
      <c r="G43" s="33">
        <f t="shared" si="1"/>
        <v>0</v>
      </c>
    </row>
    <row r="44" spans="1:7" x14ac:dyDescent="0.45">
      <c r="A44" s="25"/>
      <c r="B44" s="34" t="s">
        <v>43</v>
      </c>
      <c r="C44" s="34"/>
      <c r="D44" s="34">
        <v>1</v>
      </c>
      <c r="E44" s="34" t="s">
        <v>8</v>
      </c>
      <c r="F44" s="39">
        <f>+Cotton!F44</f>
        <v>0</v>
      </c>
      <c r="G44" s="33">
        <f t="shared" si="1"/>
        <v>0</v>
      </c>
    </row>
    <row r="45" spans="1:7" ht="14.65" thickBot="1" x14ac:dyDescent="0.5">
      <c r="A45" s="25"/>
      <c r="B45" s="34" t="s">
        <v>43</v>
      </c>
      <c r="C45" s="34"/>
      <c r="D45" s="34">
        <v>1</v>
      </c>
      <c r="E45" s="34" t="s">
        <v>8</v>
      </c>
      <c r="F45" s="39">
        <f>+Cotton!F45</f>
        <v>0</v>
      </c>
      <c r="G45" s="36">
        <f t="shared" si="1"/>
        <v>0</v>
      </c>
    </row>
    <row r="46" spans="1:7" ht="14.65" thickTop="1" x14ac:dyDescent="0.45">
      <c r="A46" s="25"/>
      <c r="B46" s="25"/>
      <c r="C46" s="25"/>
      <c r="D46" s="25"/>
      <c r="E46" s="25"/>
      <c r="F46" s="25"/>
      <c r="G46" s="25"/>
    </row>
    <row r="47" spans="1:7" ht="14.65" thickBot="1" x14ac:dyDescent="0.5">
      <c r="A47" s="25" t="s">
        <v>44</v>
      </c>
      <c r="B47" s="25"/>
      <c r="C47" s="25"/>
      <c r="D47" s="25"/>
      <c r="E47" s="25"/>
      <c r="F47" s="25"/>
      <c r="G47" s="36">
        <f>SUM(G37:G45)</f>
        <v>80.73</v>
      </c>
    </row>
    <row r="48" spans="1:7" ht="14.65" thickTop="1" x14ac:dyDescent="0.45">
      <c r="A48" s="25"/>
      <c r="B48" s="25"/>
      <c r="C48" s="25"/>
      <c r="D48" s="25"/>
      <c r="E48" s="25"/>
      <c r="F48" s="25"/>
      <c r="G48" s="25"/>
    </row>
    <row r="49" spans="1:7" ht="14.65" thickBot="1" x14ac:dyDescent="0.5">
      <c r="A49" s="25" t="s">
        <v>45</v>
      </c>
      <c r="B49" s="25"/>
      <c r="C49" s="25"/>
      <c r="D49" s="25"/>
      <c r="E49" s="25"/>
      <c r="F49" s="25"/>
      <c r="G49" s="36">
        <f>+G31+G47</f>
        <v>343.43371500000001</v>
      </c>
    </row>
    <row r="50" spans="1:7" ht="14.65" thickTop="1" x14ac:dyDescent="0.45">
      <c r="A50" s="25"/>
      <c r="B50" s="25"/>
      <c r="C50" s="25"/>
      <c r="D50" s="25"/>
      <c r="E50" s="25"/>
      <c r="F50" s="25"/>
      <c r="G50" s="25"/>
    </row>
    <row r="51" spans="1:7" x14ac:dyDescent="0.45">
      <c r="A51" s="25" t="s">
        <v>46</v>
      </c>
      <c r="B51" s="25"/>
      <c r="C51" s="25"/>
      <c r="D51" s="25"/>
      <c r="E51" s="25"/>
      <c r="F51" s="25"/>
      <c r="G51" s="33">
        <f>+G7-G49</f>
        <v>-21.646214999999984</v>
      </c>
    </row>
    <row r="52" spans="1:7" ht="14.65" thickBot="1" x14ac:dyDescent="0.5">
      <c r="A52" s="48" t="s">
        <v>47</v>
      </c>
      <c r="B52" s="48"/>
      <c r="C52" s="48"/>
      <c r="D52" s="48"/>
      <c r="E52" s="48" t="s">
        <v>6</v>
      </c>
      <c r="F52" s="49">
        <f>IF(D3=0,"n/a",(G49-G4-G5-G6)/D3)</f>
        <v>4.9607702499999995</v>
      </c>
      <c r="G52" s="48"/>
    </row>
    <row r="53" spans="1:7" ht="14.65" thickTop="1" x14ac:dyDescent="0.45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C5A00-38DE-44EA-861A-DA67D73D1E2F}">
  <dimension ref="A1:P53"/>
  <sheetViews>
    <sheetView zoomScaleNormal="100" workbookViewId="0">
      <selection activeCell="F23" sqref="F23"/>
    </sheetView>
  </sheetViews>
  <sheetFormatPr defaultRowHeight="14.25" x14ac:dyDescent="0.45"/>
  <cols>
    <col min="1" max="2" width="3" style="1" customWidth="1"/>
    <col min="3" max="3" width="28.06640625" style="1" bestFit="1" customWidth="1"/>
    <col min="4" max="7" width="10.1328125" style="1" customWidth="1"/>
    <col min="8" max="8" width="12" style="1" bestFit="1" customWidth="1"/>
    <col min="9" max="10" width="9.1328125" style="1"/>
    <col min="17" max="255" width="9.1328125" style="1"/>
    <col min="256" max="257" width="3" style="1" customWidth="1"/>
    <col min="258" max="258" width="27.1328125" style="1" customWidth="1"/>
    <col min="259" max="263" width="10.1328125" style="1" customWidth="1"/>
    <col min="264" max="511" width="9.1328125" style="1"/>
    <col min="512" max="513" width="3" style="1" customWidth="1"/>
    <col min="514" max="514" width="27.1328125" style="1" customWidth="1"/>
    <col min="515" max="519" width="10.1328125" style="1" customWidth="1"/>
    <col min="520" max="767" width="9.1328125" style="1"/>
    <col min="768" max="769" width="3" style="1" customWidth="1"/>
    <col min="770" max="770" width="27.1328125" style="1" customWidth="1"/>
    <col min="771" max="775" width="10.1328125" style="1" customWidth="1"/>
    <col min="776" max="1023" width="9.1328125" style="1"/>
    <col min="1024" max="1025" width="3" style="1" customWidth="1"/>
    <col min="1026" max="1026" width="27.1328125" style="1" customWidth="1"/>
    <col min="1027" max="1031" width="10.1328125" style="1" customWidth="1"/>
    <col min="1032" max="1279" width="9.1328125" style="1"/>
    <col min="1280" max="1281" width="3" style="1" customWidth="1"/>
    <col min="1282" max="1282" width="27.1328125" style="1" customWidth="1"/>
    <col min="1283" max="1287" width="10.1328125" style="1" customWidth="1"/>
    <col min="1288" max="1535" width="9.1328125" style="1"/>
    <col min="1536" max="1537" width="3" style="1" customWidth="1"/>
    <col min="1538" max="1538" width="27.1328125" style="1" customWidth="1"/>
    <col min="1539" max="1543" width="10.1328125" style="1" customWidth="1"/>
    <col min="1544" max="1791" width="9.1328125" style="1"/>
    <col min="1792" max="1793" width="3" style="1" customWidth="1"/>
    <col min="1794" max="1794" width="27.1328125" style="1" customWidth="1"/>
    <col min="1795" max="1799" width="10.1328125" style="1" customWidth="1"/>
    <col min="1800" max="2047" width="9.1328125" style="1"/>
    <col min="2048" max="2049" width="3" style="1" customWidth="1"/>
    <col min="2050" max="2050" width="27.1328125" style="1" customWidth="1"/>
    <col min="2051" max="2055" width="10.1328125" style="1" customWidth="1"/>
    <col min="2056" max="2303" width="9.1328125" style="1"/>
    <col min="2304" max="2305" width="3" style="1" customWidth="1"/>
    <col min="2306" max="2306" width="27.1328125" style="1" customWidth="1"/>
    <col min="2307" max="2311" width="10.1328125" style="1" customWidth="1"/>
    <col min="2312" max="2559" width="9.1328125" style="1"/>
    <col min="2560" max="2561" width="3" style="1" customWidth="1"/>
    <col min="2562" max="2562" width="27.1328125" style="1" customWidth="1"/>
    <col min="2563" max="2567" width="10.1328125" style="1" customWidth="1"/>
    <col min="2568" max="2815" width="9.1328125" style="1"/>
    <col min="2816" max="2817" width="3" style="1" customWidth="1"/>
    <col min="2818" max="2818" width="27.1328125" style="1" customWidth="1"/>
    <col min="2819" max="2823" width="10.1328125" style="1" customWidth="1"/>
    <col min="2824" max="3071" width="9.1328125" style="1"/>
    <col min="3072" max="3073" width="3" style="1" customWidth="1"/>
    <col min="3074" max="3074" width="27.1328125" style="1" customWidth="1"/>
    <col min="3075" max="3079" width="10.1328125" style="1" customWidth="1"/>
    <col min="3080" max="3327" width="9.1328125" style="1"/>
    <col min="3328" max="3329" width="3" style="1" customWidth="1"/>
    <col min="3330" max="3330" width="27.1328125" style="1" customWidth="1"/>
    <col min="3331" max="3335" width="10.1328125" style="1" customWidth="1"/>
    <col min="3336" max="3583" width="9.1328125" style="1"/>
    <col min="3584" max="3585" width="3" style="1" customWidth="1"/>
    <col min="3586" max="3586" width="27.1328125" style="1" customWidth="1"/>
    <col min="3587" max="3591" width="10.1328125" style="1" customWidth="1"/>
    <col min="3592" max="3839" width="9.1328125" style="1"/>
    <col min="3840" max="3841" width="3" style="1" customWidth="1"/>
    <col min="3842" max="3842" width="27.1328125" style="1" customWidth="1"/>
    <col min="3843" max="3847" width="10.1328125" style="1" customWidth="1"/>
    <col min="3848" max="4095" width="9.1328125" style="1"/>
    <col min="4096" max="4097" width="3" style="1" customWidth="1"/>
    <col min="4098" max="4098" width="27.1328125" style="1" customWidth="1"/>
    <col min="4099" max="4103" width="10.1328125" style="1" customWidth="1"/>
    <col min="4104" max="4351" width="9.1328125" style="1"/>
    <col min="4352" max="4353" width="3" style="1" customWidth="1"/>
    <col min="4354" max="4354" width="27.1328125" style="1" customWidth="1"/>
    <col min="4355" max="4359" width="10.1328125" style="1" customWidth="1"/>
    <col min="4360" max="4607" width="9.1328125" style="1"/>
    <col min="4608" max="4609" width="3" style="1" customWidth="1"/>
    <col min="4610" max="4610" width="27.1328125" style="1" customWidth="1"/>
    <col min="4611" max="4615" width="10.1328125" style="1" customWidth="1"/>
    <col min="4616" max="4863" width="9.1328125" style="1"/>
    <col min="4864" max="4865" width="3" style="1" customWidth="1"/>
    <col min="4866" max="4866" width="27.1328125" style="1" customWidth="1"/>
    <col min="4867" max="4871" width="10.1328125" style="1" customWidth="1"/>
    <col min="4872" max="5119" width="9.1328125" style="1"/>
    <col min="5120" max="5121" width="3" style="1" customWidth="1"/>
    <col min="5122" max="5122" width="27.1328125" style="1" customWidth="1"/>
    <col min="5123" max="5127" width="10.1328125" style="1" customWidth="1"/>
    <col min="5128" max="5375" width="9.1328125" style="1"/>
    <col min="5376" max="5377" width="3" style="1" customWidth="1"/>
    <col min="5378" max="5378" width="27.1328125" style="1" customWidth="1"/>
    <col min="5379" max="5383" width="10.1328125" style="1" customWidth="1"/>
    <col min="5384" max="5631" width="9.1328125" style="1"/>
    <col min="5632" max="5633" width="3" style="1" customWidth="1"/>
    <col min="5634" max="5634" width="27.1328125" style="1" customWidth="1"/>
    <col min="5635" max="5639" width="10.1328125" style="1" customWidth="1"/>
    <col min="5640" max="5887" width="9.1328125" style="1"/>
    <col min="5888" max="5889" width="3" style="1" customWidth="1"/>
    <col min="5890" max="5890" width="27.1328125" style="1" customWidth="1"/>
    <col min="5891" max="5895" width="10.1328125" style="1" customWidth="1"/>
    <col min="5896" max="6143" width="9.1328125" style="1"/>
    <col min="6144" max="6145" width="3" style="1" customWidth="1"/>
    <col min="6146" max="6146" width="27.1328125" style="1" customWidth="1"/>
    <col min="6147" max="6151" width="10.1328125" style="1" customWidth="1"/>
    <col min="6152" max="6399" width="9.1328125" style="1"/>
    <col min="6400" max="6401" width="3" style="1" customWidth="1"/>
    <col min="6402" max="6402" width="27.1328125" style="1" customWidth="1"/>
    <col min="6403" max="6407" width="10.1328125" style="1" customWidth="1"/>
    <col min="6408" max="6655" width="9.1328125" style="1"/>
    <col min="6656" max="6657" width="3" style="1" customWidth="1"/>
    <col min="6658" max="6658" width="27.1328125" style="1" customWidth="1"/>
    <col min="6659" max="6663" width="10.1328125" style="1" customWidth="1"/>
    <col min="6664" max="6911" width="9.1328125" style="1"/>
    <col min="6912" max="6913" width="3" style="1" customWidth="1"/>
    <col min="6914" max="6914" width="27.1328125" style="1" customWidth="1"/>
    <col min="6915" max="6919" width="10.1328125" style="1" customWidth="1"/>
    <col min="6920" max="7167" width="9.1328125" style="1"/>
    <col min="7168" max="7169" width="3" style="1" customWidth="1"/>
    <col min="7170" max="7170" width="27.1328125" style="1" customWidth="1"/>
    <col min="7171" max="7175" width="10.1328125" style="1" customWidth="1"/>
    <col min="7176" max="7423" width="9.1328125" style="1"/>
    <col min="7424" max="7425" width="3" style="1" customWidth="1"/>
    <col min="7426" max="7426" width="27.1328125" style="1" customWidth="1"/>
    <col min="7427" max="7431" width="10.1328125" style="1" customWidth="1"/>
    <col min="7432" max="7679" width="9.1328125" style="1"/>
    <col min="7680" max="7681" width="3" style="1" customWidth="1"/>
    <col min="7682" max="7682" width="27.1328125" style="1" customWidth="1"/>
    <col min="7683" max="7687" width="10.1328125" style="1" customWidth="1"/>
    <col min="7688" max="7935" width="9.1328125" style="1"/>
    <col min="7936" max="7937" width="3" style="1" customWidth="1"/>
    <col min="7938" max="7938" width="27.1328125" style="1" customWidth="1"/>
    <col min="7939" max="7943" width="10.1328125" style="1" customWidth="1"/>
    <col min="7944" max="8191" width="9.1328125" style="1"/>
    <col min="8192" max="8193" width="3" style="1" customWidth="1"/>
    <col min="8194" max="8194" width="27.1328125" style="1" customWidth="1"/>
    <col min="8195" max="8199" width="10.1328125" style="1" customWidth="1"/>
    <col min="8200" max="8447" width="9.1328125" style="1"/>
    <col min="8448" max="8449" width="3" style="1" customWidth="1"/>
    <col min="8450" max="8450" width="27.1328125" style="1" customWidth="1"/>
    <col min="8451" max="8455" width="10.1328125" style="1" customWidth="1"/>
    <col min="8456" max="8703" width="9.1328125" style="1"/>
    <col min="8704" max="8705" width="3" style="1" customWidth="1"/>
    <col min="8706" max="8706" width="27.1328125" style="1" customWidth="1"/>
    <col min="8707" max="8711" width="10.1328125" style="1" customWidth="1"/>
    <col min="8712" max="8959" width="9.1328125" style="1"/>
    <col min="8960" max="8961" width="3" style="1" customWidth="1"/>
    <col min="8962" max="8962" width="27.1328125" style="1" customWidth="1"/>
    <col min="8963" max="8967" width="10.1328125" style="1" customWidth="1"/>
    <col min="8968" max="9215" width="9.1328125" style="1"/>
    <col min="9216" max="9217" width="3" style="1" customWidth="1"/>
    <col min="9218" max="9218" width="27.1328125" style="1" customWidth="1"/>
    <col min="9219" max="9223" width="10.1328125" style="1" customWidth="1"/>
    <col min="9224" max="9471" width="9.1328125" style="1"/>
    <col min="9472" max="9473" width="3" style="1" customWidth="1"/>
    <col min="9474" max="9474" width="27.1328125" style="1" customWidth="1"/>
    <col min="9475" max="9479" width="10.1328125" style="1" customWidth="1"/>
    <col min="9480" max="9727" width="9.1328125" style="1"/>
    <col min="9728" max="9729" width="3" style="1" customWidth="1"/>
    <col min="9730" max="9730" width="27.1328125" style="1" customWidth="1"/>
    <col min="9731" max="9735" width="10.1328125" style="1" customWidth="1"/>
    <col min="9736" max="9983" width="9.1328125" style="1"/>
    <col min="9984" max="9985" width="3" style="1" customWidth="1"/>
    <col min="9986" max="9986" width="27.1328125" style="1" customWidth="1"/>
    <col min="9987" max="9991" width="10.1328125" style="1" customWidth="1"/>
    <col min="9992" max="10239" width="9.1328125" style="1"/>
    <col min="10240" max="10241" width="3" style="1" customWidth="1"/>
    <col min="10242" max="10242" width="27.1328125" style="1" customWidth="1"/>
    <col min="10243" max="10247" width="10.1328125" style="1" customWidth="1"/>
    <col min="10248" max="10495" width="9.1328125" style="1"/>
    <col min="10496" max="10497" width="3" style="1" customWidth="1"/>
    <col min="10498" max="10498" width="27.1328125" style="1" customWidth="1"/>
    <col min="10499" max="10503" width="10.1328125" style="1" customWidth="1"/>
    <col min="10504" max="10751" width="9.1328125" style="1"/>
    <col min="10752" max="10753" width="3" style="1" customWidth="1"/>
    <col min="10754" max="10754" width="27.1328125" style="1" customWidth="1"/>
    <col min="10755" max="10759" width="10.1328125" style="1" customWidth="1"/>
    <col min="10760" max="11007" width="9.1328125" style="1"/>
    <col min="11008" max="11009" width="3" style="1" customWidth="1"/>
    <col min="11010" max="11010" width="27.1328125" style="1" customWidth="1"/>
    <col min="11011" max="11015" width="10.1328125" style="1" customWidth="1"/>
    <col min="11016" max="11263" width="9.1328125" style="1"/>
    <col min="11264" max="11265" width="3" style="1" customWidth="1"/>
    <col min="11266" max="11266" width="27.1328125" style="1" customWidth="1"/>
    <col min="11267" max="11271" width="10.1328125" style="1" customWidth="1"/>
    <col min="11272" max="11519" width="9.1328125" style="1"/>
    <col min="11520" max="11521" width="3" style="1" customWidth="1"/>
    <col min="11522" max="11522" width="27.1328125" style="1" customWidth="1"/>
    <col min="11523" max="11527" width="10.1328125" style="1" customWidth="1"/>
    <col min="11528" max="11775" width="9.1328125" style="1"/>
    <col min="11776" max="11777" width="3" style="1" customWidth="1"/>
    <col min="11778" max="11778" width="27.1328125" style="1" customWidth="1"/>
    <col min="11779" max="11783" width="10.1328125" style="1" customWidth="1"/>
    <col min="11784" max="12031" width="9.1328125" style="1"/>
    <col min="12032" max="12033" width="3" style="1" customWidth="1"/>
    <col min="12034" max="12034" width="27.1328125" style="1" customWidth="1"/>
    <col min="12035" max="12039" width="10.1328125" style="1" customWidth="1"/>
    <col min="12040" max="12287" width="9.1328125" style="1"/>
    <col min="12288" max="12289" width="3" style="1" customWidth="1"/>
    <col min="12290" max="12290" width="27.1328125" style="1" customWidth="1"/>
    <col min="12291" max="12295" width="10.1328125" style="1" customWidth="1"/>
    <col min="12296" max="12543" width="9.1328125" style="1"/>
    <col min="12544" max="12545" width="3" style="1" customWidth="1"/>
    <col min="12546" max="12546" width="27.1328125" style="1" customWidth="1"/>
    <col min="12547" max="12551" width="10.1328125" style="1" customWidth="1"/>
    <col min="12552" max="12799" width="9.1328125" style="1"/>
    <col min="12800" max="12801" width="3" style="1" customWidth="1"/>
    <col min="12802" max="12802" width="27.1328125" style="1" customWidth="1"/>
    <col min="12803" max="12807" width="10.1328125" style="1" customWidth="1"/>
    <col min="12808" max="13055" width="9.1328125" style="1"/>
    <col min="13056" max="13057" width="3" style="1" customWidth="1"/>
    <col min="13058" max="13058" width="27.1328125" style="1" customWidth="1"/>
    <col min="13059" max="13063" width="10.1328125" style="1" customWidth="1"/>
    <col min="13064" max="13311" width="9.1328125" style="1"/>
    <col min="13312" max="13313" width="3" style="1" customWidth="1"/>
    <col min="13314" max="13314" width="27.1328125" style="1" customWidth="1"/>
    <col min="13315" max="13319" width="10.1328125" style="1" customWidth="1"/>
    <col min="13320" max="13567" width="9.1328125" style="1"/>
    <col min="13568" max="13569" width="3" style="1" customWidth="1"/>
    <col min="13570" max="13570" width="27.1328125" style="1" customWidth="1"/>
    <col min="13571" max="13575" width="10.1328125" style="1" customWidth="1"/>
    <col min="13576" max="13823" width="9.1328125" style="1"/>
    <col min="13824" max="13825" width="3" style="1" customWidth="1"/>
    <col min="13826" max="13826" width="27.1328125" style="1" customWidth="1"/>
    <col min="13827" max="13831" width="10.1328125" style="1" customWidth="1"/>
    <col min="13832" max="14079" width="9.1328125" style="1"/>
    <col min="14080" max="14081" width="3" style="1" customWidth="1"/>
    <col min="14082" max="14082" width="27.1328125" style="1" customWidth="1"/>
    <col min="14083" max="14087" width="10.1328125" style="1" customWidth="1"/>
    <col min="14088" max="14335" width="9.1328125" style="1"/>
    <col min="14336" max="14337" width="3" style="1" customWidth="1"/>
    <col min="14338" max="14338" width="27.1328125" style="1" customWidth="1"/>
    <col min="14339" max="14343" width="10.1328125" style="1" customWidth="1"/>
    <col min="14344" max="14591" width="9.1328125" style="1"/>
    <col min="14592" max="14593" width="3" style="1" customWidth="1"/>
    <col min="14594" max="14594" width="27.1328125" style="1" customWidth="1"/>
    <col min="14595" max="14599" width="10.1328125" style="1" customWidth="1"/>
    <col min="14600" max="14847" width="9.1328125" style="1"/>
    <col min="14848" max="14849" width="3" style="1" customWidth="1"/>
    <col min="14850" max="14850" width="27.1328125" style="1" customWidth="1"/>
    <col min="14851" max="14855" width="10.1328125" style="1" customWidth="1"/>
    <col min="14856" max="15103" width="9.1328125" style="1"/>
    <col min="15104" max="15105" width="3" style="1" customWidth="1"/>
    <col min="15106" max="15106" width="27.1328125" style="1" customWidth="1"/>
    <col min="15107" max="15111" width="10.1328125" style="1" customWidth="1"/>
    <col min="15112" max="15359" width="9.1328125" style="1"/>
    <col min="15360" max="15361" width="3" style="1" customWidth="1"/>
    <col min="15362" max="15362" width="27.1328125" style="1" customWidth="1"/>
    <col min="15363" max="15367" width="10.1328125" style="1" customWidth="1"/>
    <col min="15368" max="15615" width="9.1328125" style="1"/>
    <col min="15616" max="15617" width="3" style="1" customWidth="1"/>
    <col min="15618" max="15618" width="27.1328125" style="1" customWidth="1"/>
    <col min="15619" max="15623" width="10.1328125" style="1" customWidth="1"/>
    <col min="15624" max="15871" width="9.1328125" style="1"/>
    <col min="15872" max="15873" width="3" style="1" customWidth="1"/>
    <col min="15874" max="15874" width="27.1328125" style="1" customWidth="1"/>
    <col min="15875" max="15879" width="10.1328125" style="1" customWidth="1"/>
    <col min="15880" max="16127" width="9.1328125" style="1"/>
    <col min="16128" max="16129" width="3" style="1" customWidth="1"/>
    <col min="16130" max="16130" width="27.1328125" style="1" customWidth="1"/>
    <col min="16131" max="16135" width="10.1328125" style="1" customWidth="1"/>
    <col min="16136" max="16383" width="9.1328125" style="1"/>
    <col min="16384" max="16384" width="9.1328125" style="1" customWidth="1"/>
  </cols>
  <sheetData>
    <row r="1" spans="1:16" x14ac:dyDescent="0.45">
      <c r="A1" s="25"/>
      <c r="B1" s="26" t="s">
        <v>76</v>
      </c>
      <c r="C1" s="25"/>
      <c r="D1" s="27"/>
      <c r="E1" s="27"/>
      <c r="F1" s="27"/>
      <c r="G1" s="27"/>
      <c r="K1" s="1"/>
      <c r="L1" s="1"/>
      <c r="M1" s="1"/>
      <c r="N1" s="1"/>
      <c r="O1" s="1"/>
      <c r="P1" s="1"/>
    </row>
    <row r="2" spans="1:16" x14ac:dyDescent="0.45">
      <c r="A2" s="28" t="s">
        <v>0</v>
      </c>
      <c r="B2" s="28"/>
      <c r="C2" s="28"/>
      <c r="D2" s="29" t="s">
        <v>1</v>
      </c>
      <c r="E2" s="29" t="s">
        <v>2</v>
      </c>
      <c r="F2" s="29" t="s">
        <v>3</v>
      </c>
      <c r="G2" s="29" t="s">
        <v>4</v>
      </c>
      <c r="H2" s="50" t="s">
        <v>70</v>
      </c>
      <c r="K2" s="1"/>
      <c r="L2" s="1"/>
      <c r="M2" s="1"/>
      <c r="N2" s="1"/>
      <c r="O2" s="1"/>
      <c r="P2" s="1"/>
    </row>
    <row r="3" spans="1:16" x14ac:dyDescent="0.45">
      <c r="A3" s="25"/>
      <c r="B3" s="25" t="s">
        <v>77</v>
      </c>
      <c r="C3" s="25"/>
      <c r="D3" s="69">
        <f>Assumptions!C10</f>
        <v>400</v>
      </c>
      <c r="E3" s="31" t="s">
        <v>79</v>
      </c>
      <c r="F3" s="68">
        <f>Assumptions!C18/100</f>
        <v>0.52</v>
      </c>
      <c r="G3" s="33">
        <f>D3*F3</f>
        <v>208</v>
      </c>
      <c r="H3" s="51"/>
      <c r="K3" s="1"/>
      <c r="L3" s="1"/>
      <c r="M3" s="1"/>
      <c r="N3" s="1"/>
      <c r="O3" s="1"/>
      <c r="P3" s="1"/>
    </row>
    <row r="4" spans="1:16" x14ac:dyDescent="0.45">
      <c r="A4" s="25"/>
      <c r="B4" s="34" t="s">
        <v>78</v>
      </c>
      <c r="C4" s="35"/>
      <c r="D4" s="69">
        <f>Assumptions!C11</f>
        <v>0.3</v>
      </c>
      <c r="E4" s="31" t="s">
        <v>80</v>
      </c>
      <c r="F4" s="68">
        <f>Assumptions!C20</f>
        <v>180</v>
      </c>
      <c r="G4" s="33">
        <f>D4*F4</f>
        <v>54</v>
      </c>
      <c r="J4" s="4"/>
      <c r="K4" s="1"/>
      <c r="L4" s="1"/>
      <c r="M4" s="1"/>
      <c r="N4" s="1"/>
      <c r="O4" s="1"/>
      <c r="P4" s="1"/>
    </row>
    <row r="5" spans="1:16" x14ac:dyDescent="0.45">
      <c r="A5" s="25"/>
      <c r="B5" s="34" t="s">
        <v>7</v>
      </c>
      <c r="C5" s="35"/>
      <c r="D5" s="34">
        <v>1</v>
      </c>
      <c r="E5" s="31" t="s">
        <v>8</v>
      </c>
      <c r="F5" s="32">
        <v>0</v>
      </c>
      <c r="G5" s="33">
        <f>D5*F5</f>
        <v>0</v>
      </c>
      <c r="J5" s="4"/>
      <c r="K5" s="1"/>
      <c r="L5" s="1"/>
      <c r="M5" s="1"/>
      <c r="N5" s="1"/>
      <c r="O5" s="1"/>
      <c r="P5" s="1"/>
    </row>
    <row r="6" spans="1:16" ht="14.65" thickBot="1" x14ac:dyDescent="0.5">
      <c r="A6" s="25"/>
      <c r="B6" s="34" t="s">
        <v>7</v>
      </c>
      <c r="C6" s="35"/>
      <c r="D6" s="34">
        <v>1</v>
      </c>
      <c r="E6" s="31" t="s">
        <v>8</v>
      </c>
      <c r="F6" s="32">
        <v>0</v>
      </c>
      <c r="G6" s="36">
        <f>D6*F6</f>
        <v>0</v>
      </c>
      <c r="K6" s="1"/>
      <c r="L6" s="1"/>
      <c r="M6" s="1"/>
      <c r="N6" s="1"/>
      <c r="O6" s="1"/>
      <c r="P6" s="1"/>
    </row>
    <row r="7" spans="1:16" ht="14.65" thickTop="1" x14ac:dyDescent="0.45">
      <c r="A7" s="37" t="s">
        <v>9</v>
      </c>
      <c r="B7" s="37"/>
      <c r="C7" s="37"/>
      <c r="D7" s="37"/>
      <c r="E7" s="37"/>
      <c r="F7" s="37"/>
      <c r="G7" s="38">
        <f>SUM(G3:G6)</f>
        <v>262</v>
      </c>
      <c r="K7" s="1"/>
      <c r="L7" s="1"/>
      <c r="M7" s="1"/>
      <c r="N7" s="1"/>
      <c r="O7" s="1"/>
      <c r="P7" s="1"/>
    </row>
    <row r="8" spans="1:16" x14ac:dyDescent="0.45">
      <c r="A8" s="28" t="s">
        <v>10</v>
      </c>
      <c r="B8" s="28"/>
      <c r="C8" s="28"/>
      <c r="D8" s="28" t="s">
        <v>1</v>
      </c>
      <c r="E8" s="28" t="s">
        <v>2</v>
      </c>
      <c r="F8" s="28" t="s">
        <v>3</v>
      </c>
      <c r="G8" s="28" t="s">
        <v>4</v>
      </c>
      <c r="K8" s="1"/>
      <c r="L8" s="1"/>
      <c r="M8" s="1"/>
      <c r="N8" s="1"/>
      <c r="O8" s="1"/>
      <c r="P8" s="1"/>
    </row>
    <row r="9" spans="1:16" x14ac:dyDescent="0.45">
      <c r="A9" s="25" t="s">
        <v>11</v>
      </c>
      <c r="B9" s="25"/>
      <c r="C9" s="25"/>
      <c r="D9" s="25"/>
      <c r="E9" s="25"/>
      <c r="F9" s="25"/>
      <c r="G9" s="25"/>
      <c r="K9" s="1"/>
      <c r="L9" s="1"/>
      <c r="M9" s="1"/>
      <c r="N9" s="1"/>
      <c r="O9" s="1"/>
      <c r="P9" s="1"/>
    </row>
    <row r="10" spans="1:16" x14ac:dyDescent="0.45">
      <c r="A10" s="25"/>
      <c r="B10" s="25" t="s">
        <v>12</v>
      </c>
      <c r="C10" s="25"/>
      <c r="D10" s="25">
        <v>0.15</v>
      </c>
      <c r="E10" s="27" t="s">
        <v>115</v>
      </c>
      <c r="F10" s="39">
        <v>330</v>
      </c>
      <c r="G10" s="33">
        <f>D10*F10</f>
        <v>49.5</v>
      </c>
      <c r="K10" s="1"/>
      <c r="L10" s="1"/>
      <c r="M10" s="1"/>
      <c r="N10" s="1"/>
      <c r="O10" s="1"/>
      <c r="P10" s="1"/>
    </row>
    <row r="11" spans="1:16" x14ac:dyDescent="0.45">
      <c r="A11" s="25"/>
      <c r="B11" s="25" t="s">
        <v>81</v>
      </c>
      <c r="C11" s="25"/>
      <c r="D11" s="25">
        <v>57</v>
      </c>
      <c r="E11" s="27" t="s">
        <v>79</v>
      </c>
      <c r="F11" s="39">
        <v>0.48</v>
      </c>
      <c r="G11" s="33">
        <f t="shared" ref="G11:G20" si="0">D11*F11</f>
        <v>27.36</v>
      </c>
      <c r="K11" s="1"/>
      <c r="L11" s="1"/>
      <c r="M11" s="1"/>
      <c r="N11" s="1"/>
      <c r="O11" s="1"/>
      <c r="P11" s="1"/>
    </row>
    <row r="12" spans="1:16" x14ac:dyDescent="0.45">
      <c r="A12" s="25"/>
      <c r="B12" s="25" t="s">
        <v>116</v>
      </c>
      <c r="C12" s="25"/>
      <c r="D12" s="25">
        <v>1</v>
      </c>
      <c r="E12" s="27" t="s">
        <v>8</v>
      </c>
      <c r="F12" s="39">
        <f>24+15+11.2</f>
        <v>50.2</v>
      </c>
      <c r="G12" s="33">
        <f t="shared" si="0"/>
        <v>50.2</v>
      </c>
      <c r="K12" s="1"/>
      <c r="L12" s="1"/>
      <c r="M12" s="1"/>
      <c r="N12" s="1"/>
      <c r="O12" s="1"/>
      <c r="P12" s="1"/>
    </row>
    <row r="13" spans="1:16" hidden="1" x14ac:dyDescent="0.45">
      <c r="A13" s="25"/>
      <c r="B13" s="25" t="s">
        <v>15</v>
      </c>
      <c r="C13" s="25"/>
      <c r="D13" s="25">
        <v>1</v>
      </c>
      <c r="E13" s="27" t="s">
        <v>8</v>
      </c>
      <c r="F13" s="39">
        <v>0</v>
      </c>
      <c r="G13" s="33">
        <f t="shared" si="0"/>
        <v>0</v>
      </c>
      <c r="K13" s="1"/>
      <c r="L13" s="1"/>
      <c r="M13" s="1"/>
      <c r="N13" s="1"/>
      <c r="O13" s="1"/>
      <c r="P13" s="1"/>
    </row>
    <row r="14" spans="1:16" x14ac:dyDescent="0.45">
      <c r="A14" s="25"/>
      <c r="B14" s="25" t="s">
        <v>16</v>
      </c>
      <c r="C14" s="25"/>
      <c r="D14" s="25">
        <v>1</v>
      </c>
      <c r="E14" s="27" t="s">
        <v>8</v>
      </c>
      <c r="F14" s="39">
        <v>15</v>
      </c>
      <c r="G14" s="33">
        <f t="shared" si="0"/>
        <v>15</v>
      </c>
      <c r="K14" s="1"/>
      <c r="L14" s="1"/>
      <c r="M14" s="1"/>
      <c r="N14" s="1"/>
      <c r="O14" s="1"/>
      <c r="P14" s="1"/>
    </row>
    <row r="15" spans="1:16" x14ac:dyDescent="0.45">
      <c r="A15" s="25"/>
      <c r="B15" s="25" t="s">
        <v>17</v>
      </c>
      <c r="C15" s="25"/>
      <c r="D15" s="40">
        <v>6.88</v>
      </c>
      <c r="E15" s="27" t="s">
        <v>18</v>
      </c>
      <c r="F15" s="41">
        <v>2.2000000000000002</v>
      </c>
      <c r="G15" s="33">
        <f>D15*F15</f>
        <v>15.136000000000001</v>
      </c>
      <c r="K15" s="1"/>
      <c r="L15" s="1"/>
      <c r="M15" s="1"/>
      <c r="N15" s="1"/>
      <c r="O15" s="1"/>
      <c r="P15" s="1"/>
    </row>
    <row r="16" spans="1:16" x14ac:dyDescent="0.45">
      <c r="A16" s="25"/>
      <c r="B16" s="25" t="s">
        <v>19</v>
      </c>
      <c r="C16" s="25"/>
      <c r="D16" s="42">
        <v>0.1</v>
      </c>
      <c r="E16" s="27" t="s">
        <v>20</v>
      </c>
      <c r="F16" s="39">
        <f>+G15</f>
        <v>15.136000000000001</v>
      </c>
      <c r="G16" s="33">
        <f t="shared" si="0"/>
        <v>1.5136000000000003</v>
      </c>
      <c r="K16" s="1"/>
      <c r="L16" s="1"/>
      <c r="M16" s="1"/>
      <c r="N16" s="1"/>
      <c r="O16" s="1"/>
      <c r="P16" s="1"/>
    </row>
    <row r="17" spans="1:16" x14ac:dyDescent="0.45">
      <c r="A17" s="25"/>
      <c r="B17" s="25" t="s">
        <v>50</v>
      </c>
      <c r="C17" s="25"/>
      <c r="D17" s="25">
        <v>1</v>
      </c>
      <c r="E17" s="27" t="s">
        <v>8</v>
      </c>
      <c r="F17" s="39">
        <f>0.28+13.34+15.66</f>
        <v>29.28</v>
      </c>
      <c r="G17" s="33">
        <f t="shared" si="0"/>
        <v>29.28</v>
      </c>
      <c r="K17" s="1"/>
      <c r="L17" s="1"/>
      <c r="M17" s="1"/>
      <c r="N17" s="1"/>
      <c r="O17" s="1"/>
      <c r="P17" s="1"/>
    </row>
    <row r="18" spans="1:16" x14ac:dyDescent="0.45">
      <c r="A18" s="25"/>
      <c r="B18" s="25" t="s">
        <v>22</v>
      </c>
      <c r="C18" s="25"/>
      <c r="D18" s="40">
        <f>1.01+1.21</f>
        <v>2.2199999999999998</v>
      </c>
      <c r="E18" s="27" t="s">
        <v>23</v>
      </c>
      <c r="F18" s="41">
        <v>12</v>
      </c>
      <c r="G18" s="33">
        <f t="shared" si="0"/>
        <v>26.639999999999997</v>
      </c>
      <c r="K18" s="1"/>
      <c r="L18" s="1"/>
      <c r="M18" s="1"/>
      <c r="N18" s="1"/>
      <c r="O18" s="1"/>
      <c r="P18" s="1"/>
    </row>
    <row r="19" spans="1:16" x14ac:dyDescent="0.45">
      <c r="A19" s="25"/>
      <c r="B19" s="25" t="s">
        <v>82</v>
      </c>
      <c r="C19" s="25"/>
      <c r="D19" s="25">
        <v>1</v>
      </c>
      <c r="E19" s="27" t="s">
        <v>8</v>
      </c>
      <c r="F19" s="39">
        <v>5.5</v>
      </c>
      <c r="G19" s="33">
        <f t="shared" si="0"/>
        <v>5.5</v>
      </c>
      <c r="K19" s="1"/>
      <c r="L19" s="1"/>
      <c r="M19" s="1"/>
      <c r="N19" s="1"/>
      <c r="O19" s="1"/>
      <c r="P19" s="1"/>
    </row>
    <row r="20" spans="1:16" hidden="1" x14ac:dyDescent="0.45">
      <c r="A20" s="25"/>
      <c r="B20" s="25" t="s">
        <v>25</v>
      </c>
      <c r="C20" s="25"/>
      <c r="D20" s="44">
        <v>0</v>
      </c>
      <c r="E20" s="27" t="s">
        <v>8</v>
      </c>
      <c r="F20" s="39">
        <v>5.5</v>
      </c>
      <c r="G20" s="33">
        <f t="shared" si="0"/>
        <v>0</v>
      </c>
      <c r="K20" s="1"/>
      <c r="L20" s="1"/>
      <c r="M20" s="1"/>
      <c r="N20" s="1"/>
      <c r="O20" s="1"/>
      <c r="P20" s="1"/>
    </row>
    <row r="21" spans="1:16" ht="14.65" thickBot="1" x14ac:dyDescent="0.5">
      <c r="A21" s="25"/>
      <c r="B21" s="25" t="s">
        <v>26</v>
      </c>
      <c r="C21" s="25"/>
      <c r="D21" s="25"/>
      <c r="E21" s="25"/>
      <c r="F21" s="78">
        <f>+Assumptions!C3</f>
        <v>6.5000000000000002E-2</v>
      </c>
      <c r="G21" s="43">
        <f>+SUM(G10:G20)*F21/12*6</f>
        <v>7.1542119999999993</v>
      </c>
      <c r="I21" s="5"/>
      <c r="K21" s="1"/>
      <c r="L21" s="1"/>
      <c r="M21" s="1"/>
      <c r="N21" s="1"/>
      <c r="O21" s="1"/>
      <c r="P21" s="1"/>
    </row>
    <row r="22" spans="1:16" x14ac:dyDescent="0.45">
      <c r="A22" s="25"/>
      <c r="B22" s="25"/>
      <c r="C22" s="25"/>
      <c r="D22" s="25"/>
      <c r="E22" s="25"/>
      <c r="F22" s="25"/>
      <c r="G22" s="33">
        <f>SUM(G10:G21)</f>
        <v>227.28381199999998</v>
      </c>
      <c r="K22" s="1"/>
      <c r="L22" s="1"/>
      <c r="M22" s="1"/>
      <c r="N22" s="1"/>
      <c r="O22" s="1"/>
      <c r="P22" s="1"/>
    </row>
    <row r="23" spans="1:16" x14ac:dyDescent="0.45">
      <c r="A23" s="25" t="s">
        <v>27</v>
      </c>
      <c r="B23" s="25"/>
      <c r="C23" s="25"/>
      <c r="D23" s="25"/>
      <c r="E23" s="25"/>
      <c r="F23" s="25"/>
      <c r="G23" s="25"/>
      <c r="K23" s="1"/>
      <c r="L23" s="1"/>
      <c r="M23" s="1"/>
      <c r="N23" s="1"/>
      <c r="O23" s="1"/>
      <c r="P23" s="1"/>
    </row>
    <row r="24" spans="1:16" x14ac:dyDescent="0.45">
      <c r="A24" s="25"/>
      <c r="B24" s="25" t="s">
        <v>28</v>
      </c>
      <c r="C24" s="25"/>
      <c r="D24" s="25">
        <v>1</v>
      </c>
      <c r="E24" s="25" t="s">
        <v>8</v>
      </c>
      <c r="F24" s="39">
        <f>0.12*D3+G4</f>
        <v>102</v>
      </c>
      <c r="G24" s="33">
        <f>+D24*F24</f>
        <v>102</v>
      </c>
      <c r="K24" s="1"/>
      <c r="L24" s="1"/>
      <c r="M24" s="1"/>
      <c r="N24" s="1"/>
      <c r="O24" s="1"/>
      <c r="P24" s="1"/>
    </row>
    <row r="25" spans="1:16" x14ac:dyDescent="0.45">
      <c r="A25" s="25"/>
      <c r="B25" s="25" t="s">
        <v>29</v>
      </c>
      <c r="C25" s="25"/>
      <c r="D25" s="25"/>
      <c r="E25" s="25"/>
      <c r="F25" s="44"/>
      <c r="G25" s="25"/>
      <c r="K25" s="1"/>
      <c r="L25" s="1"/>
      <c r="M25" s="1"/>
      <c r="N25" s="1"/>
      <c r="O25" s="1"/>
      <c r="P25" s="1"/>
    </row>
    <row r="26" spans="1:16" ht="14.65" thickBot="1" x14ac:dyDescent="0.5">
      <c r="A26" s="25"/>
      <c r="B26" s="25"/>
      <c r="C26" s="25" t="s">
        <v>30</v>
      </c>
      <c r="D26" s="25">
        <v>1</v>
      </c>
      <c r="E26" s="25" t="s">
        <v>8</v>
      </c>
      <c r="F26" s="39">
        <v>0</v>
      </c>
      <c r="G26" s="43">
        <f>+D26*F26</f>
        <v>0</v>
      </c>
      <c r="K26" s="1"/>
      <c r="L26" s="1"/>
      <c r="M26" s="1"/>
      <c r="N26" s="1"/>
      <c r="O26" s="1"/>
      <c r="P26" s="1"/>
    </row>
    <row r="27" spans="1:16" ht="14.65" thickBot="1" x14ac:dyDescent="0.5">
      <c r="A27" s="25"/>
      <c r="B27" s="25"/>
      <c r="C27" s="25"/>
      <c r="D27" s="25" t="s">
        <v>31</v>
      </c>
      <c r="E27" s="25"/>
      <c r="F27" s="44"/>
      <c r="G27" s="45">
        <f>+G24+G26</f>
        <v>102</v>
      </c>
      <c r="K27" s="1"/>
      <c r="L27" s="1"/>
      <c r="M27" s="1"/>
      <c r="N27" s="1"/>
      <c r="O27" s="1"/>
      <c r="P27" s="1"/>
    </row>
    <row r="28" spans="1:16" ht="14.65" thickTop="1" x14ac:dyDescent="0.45">
      <c r="A28" s="25"/>
      <c r="B28" s="25"/>
      <c r="C28" s="25"/>
      <c r="D28" s="25"/>
      <c r="E28" s="25"/>
      <c r="F28" s="44"/>
      <c r="G28" s="25"/>
      <c r="K28" s="1"/>
      <c r="L28" s="1"/>
      <c r="M28" s="1"/>
      <c r="N28" s="1"/>
      <c r="O28" s="1"/>
      <c r="P28" s="1"/>
    </row>
    <row r="29" spans="1:16" ht="14.65" thickBot="1" x14ac:dyDescent="0.5">
      <c r="A29" s="25" t="s">
        <v>32</v>
      </c>
      <c r="B29" s="25"/>
      <c r="C29" s="25"/>
      <c r="D29" s="25">
        <v>1</v>
      </c>
      <c r="E29" s="25" t="s">
        <v>8</v>
      </c>
      <c r="F29" s="39">
        <v>0</v>
      </c>
      <c r="G29" s="46">
        <f>+D29*F29</f>
        <v>0</v>
      </c>
      <c r="K29" s="1"/>
      <c r="L29" s="1"/>
      <c r="M29" s="1"/>
      <c r="N29" s="1"/>
      <c r="O29" s="1"/>
      <c r="P29" s="1"/>
    </row>
    <row r="30" spans="1:16" ht="14.65" thickTop="1" x14ac:dyDescent="0.45">
      <c r="A30" s="25"/>
      <c r="B30" s="25"/>
      <c r="C30" s="25"/>
      <c r="D30" s="25"/>
      <c r="E30" s="25"/>
      <c r="F30" s="25"/>
      <c r="G30" s="25"/>
      <c r="K30" s="1"/>
      <c r="L30" s="1"/>
      <c r="M30" s="1"/>
      <c r="N30" s="1"/>
      <c r="O30" s="1"/>
      <c r="P30" s="1"/>
    </row>
    <row r="31" spans="1:16" ht="14.65" thickBot="1" x14ac:dyDescent="0.5">
      <c r="A31" s="25" t="s">
        <v>33</v>
      </c>
      <c r="B31" s="25"/>
      <c r="C31" s="25"/>
      <c r="D31" s="25"/>
      <c r="E31" s="25"/>
      <c r="F31" s="25"/>
      <c r="G31" s="36">
        <f>+G22+G27+G29</f>
        <v>329.28381200000001</v>
      </c>
      <c r="K31" s="1"/>
      <c r="L31" s="1"/>
      <c r="M31" s="1"/>
      <c r="N31" s="1"/>
      <c r="O31" s="1"/>
      <c r="P31" s="1"/>
    </row>
    <row r="32" spans="1:16" ht="14.65" thickTop="1" x14ac:dyDescent="0.45">
      <c r="A32" s="25"/>
      <c r="B32" s="25"/>
      <c r="C32" s="25"/>
      <c r="D32" s="25"/>
      <c r="E32" s="25"/>
      <c r="F32" s="25"/>
      <c r="G32" s="25"/>
      <c r="K32" s="1"/>
      <c r="L32" s="1"/>
      <c r="M32" s="1"/>
      <c r="N32" s="1"/>
      <c r="O32" s="1"/>
      <c r="P32" s="1"/>
    </row>
    <row r="33" spans="1:16" x14ac:dyDescent="0.45">
      <c r="A33" s="25" t="s">
        <v>34</v>
      </c>
      <c r="B33" s="25"/>
      <c r="C33" s="25"/>
      <c r="D33" s="25"/>
      <c r="E33" s="25"/>
      <c r="F33" s="25"/>
      <c r="G33" s="33">
        <f>+G7-G31</f>
        <v>-67.283812000000012</v>
      </c>
      <c r="K33" s="1"/>
      <c r="L33" s="1"/>
      <c r="M33" s="1"/>
      <c r="N33" s="1"/>
      <c r="O33" s="1"/>
      <c r="P33" s="1"/>
    </row>
    <row r="34" spans="1:16" x14ac:dyDescent="0.45">
      <c r="A34" s="25"/>
      <c r="B34" s="25" t="s">
        <v>35</v>
      </c>
      <c r="C34" s="25"/>
      <c r="D34" s="25"/>
      <c r="E34" s="25" t="s">
        <v>6</v>
      </c>
      <c r="F34" s="47">
        <f>IF(D3=0,"n/a",(G31-G4-G5-G6)/D3)</f>
        <v>0.68820953000000007</v>
      </c>
      <c r="G34" s="25"/>
      <c r="K34" s="1"/>
      <c r="L34" s="1"/>
      <c r="M34" s="1"/>
      <c r="N34" s="1"/>
      <c r="O34" s="1"/>
      <c r="P34" s="1"/>
    </row>
    <row r="35" spans="1:16" x14ac:dyDescent="0.45">
      <c r="A35" s="25"/>
      <c r="B35" s="25"/>
      <c r="C35" s="25"/>
      <c r="D35" s="25"/>
      <c r="E35" s="25"/>
      <c r="F35" s="25"/>
      <c r="G35" s="25"/>
      <c r="K35" s="1"/>
      <c r="L35" s="1"/>
      <c r="M35" s="1"/>
      <c r="N35" s="1"/>
      <c r="O35" s="1"/>
      <c r="P35" s="1"/>
    </row>
    <row r="36" spans="1:16" x14ac:dyDescent="0.45">
      <c r="A36" s="28" t="s">
        <v>36</v>
      </c>
      <c r="B36" s="28"/>
      <c r="C36" s="28"/>
      <c r="D36" s="28" t="s">
        <v>1</v>
      </c>
      <c r="E36" s="28" t="s">
        <v>2</v>
      </c>
      <c r="F36" s="28" t="s">
        <v>3</v>
      </c>
      <c r="G36" s="28" t="s">
        <v>4</v>
      </c>
      <c r="K36" s="1"/>
      <c r="L36" s="1"/>
      <c r="M36" s="1"/>
      <c r="N36" s="1"/>
      <c r="O36" s="1"/>
      <c r="P36" s="1"/>
    </row>
    <row r="37" spans="1:16" x14ac:dyDescent="0.45">
      <c r="A37" s="25"/>
      <c r="B37" s="25" t="s">
        <v>37</v>
      </c>
      <c r="C37" s="25"/>
      <c r="D37" s="25">
        <v>1</v>
      </c>
      <c r="E37" s="25" t="s">
        <v>8</v>
      </c>
      <c r="F37" s="39">
        <v>38.590000000000003</v>
      </c>
      <c r="G37" s="33">
        <f>D37*F37</f>
        <v>38.590000000000003</v>
      </c>
      <c r="K37" s="1"/>
      <c r="L37" s="1"/>
      <c r="M37" s="1"/>
      <c r="N37" s="1"/>
      <c r="O37" s="1"/>
      <c r="P37" s="1"/>
    </row>
    <row r="38" spans="1:16" x14ac:dyDescent="0.45">
      <c r="A38" s="25"/>
      <c r="B38" s="25" t="s">
        <v>38</v>
      </c>
      <c r="C38" s="25"/>
      <c r="D38" s="25">
        <v>1</v>
      </c>
      <c r="E38" s="25" t="s">
        <v>8</v>
      </c>
      <c r="F38" s="39">
        <f>+'Wheat Graze Out'!F38</f>
        <v>0</v>
      </c>
      <c r="G38" s="33">
        <f t="shared" ref="G38:G45" si="1">D38*F38</f>
        <v>0</v>
      </c>
      <c r="K38" s="1"/>
      <c r="L38" s="1"/>
      <c r="M38" s="1"/>
      <c r="N38" s="1"/>
      <c r="O38" s="1"/>
      <c r="P38" s="1"/>
    </row>
    <row r="39" spans="1:16" x14ac:dyDescent="0.45">
      <c r="A39" s="25"/>
      <c r="B39" s="25" t="s">
        <v>39</v>
      </c>
      <c r="C39" s="25"/>
      <c r="D39" s="25">
        <v>1</v>
      </c>
      <c r="E39" s="25" t="s">
        <v>8</v>
      </c>
      <c r="F39" s="39">
        <f>+'Wheat Graze Out'!F39</f>
        <v>0</v>
      </c>
      <c r="G39" s="33">
        <f t="shared" si="1"/>
        <v>0</v>
      </c>
      <c r="K39" s="1"/>
      <c r="L39" s="1"/>
      <c r="M39" s="1"/>
      <c r="N39" s="1"/>
      <c r="O39" s="1"/>
      <c r="P39" s="1"/>
    </row>
    <row r="40" spans="1:16" x14ac:dyDescent="0.45">
      <c r="A40" s="25"/>
      <c r="B40" s="25" t="s">
        <v>40</v>
      </c>
      <c r="C40" s="25"/>
      <c r="D40" s="25">
        <v>1</v>
      </c>
      <c r="E40" s="25" t="s">
        <v>8</v>
      </c>
      <c r="F40" s="39">
        <v>30</v>
      </c>
      <c r="G40" s="33">
        <f t="shared" si="1"/>
        <v>30</v>
      </c>
      <c r="K40" s="1"/>
      <c r="L40" s="1"/>
      <c r="M40" s="1"/>
      <c r="N40" s="1"/>
      <c r="O40" s="1"/>
      <c r="P40" s="1"/>
    </row>
    <row r="41" spans="1:16" x14ac:dyDescent="0.45">
      <c r="A41" s="25"/>
      <c r="B41" s="25" t="s">
        <v>41</v>
      </c>
      <c r="C41" s="25"/>
      <c r="D41" s="25">
        <v>1</v>
      </c>
      <c r="E41" s="25" t="s">
        <v>8</v>
      </c>
      <c r="F41" s="39">
        <f>+'Wheat Graze Out'!F41</f>
        <v>0</v>
      </c>
      <c r="G41" s="33">
        <f t="shared" si="1"/>
        <v>0</v>
      </c>
      <c r="K41" s="1"/>
      <c r="L41" s="1"/>
      <c r="M41" s="1"/>
      <c r="N41" s="1"/>
      <c r="O41" s="1"/>
      <c r="P41" s="1"/>
    </row>
    <row r="42" spans="1:16" x14ac:dyDescent="0.45">
      <c r="A42" s="25"/>
      <c r="B42" s="25" t="s">
        <v>142</v>
      </c>
      <c r="C42" s="25"/>
      <c r="D42" s="25">
        <v>1</v>
      </c>
      <c r="E42" s="25" t="s">
        <v>8</v>
      </c>
      <c r="F42" s="39">
        <v>12.14</v>
      </c>
      <c r="G42" s="33">
        <f t="shared" si="1"/>
        <v>12.14</v>
      </c>
      <c r="K42" s="1"/>
      <c r="L42" s="1"/>
      <c r="M42" s="1"/>
      <c r="N42" s="1"/>
      <c r="O42" s="1"/>
      <c r="P42" s="1"/>
    </row>
    <row r="43" spans="1:16" x14ac:dyDescent="0.45">
      <c r="A43" s="25"/>
      <c r="B43" s="34" t="s">
        <v>43</v>
      </c>
      <c r="C43" s="34"/>
      <c r="D43" s="34">
        <v>1</v>
      </c>
      <c r="E43" s="34" t="s">
        <v>8</v>
      </c>
      <c r="F43" s="39">
        <f>+'Wheat Graze Out'!F43</f>
        <v>0</v>
      </c>
      <c r="G43" s="33">
        <f t="shared" si="1"/>
        <v>0</v>
      </c>
      <c r="K43" s="1"/>
      <c r="L43" s="1"/>
      <c r="M43" s="1"/>
      <c r="N43" s="1"/>
      <c r="O43" s="1"/>
      <c r="P43" s="1"/>
    </row>
    <row r="44" spans="1:16" x14ac:dyDescent="0.45">
      <c r="A44" s="25"/>
      <c r="B44" s="34" t="s">
        <v>43</v>
      </c>
      <c r="C44" s="34"/>
      <c r="D44" s="34">
        <v>1</v>
      </c>
      <c r="E44" s="34" t="s">
        <v>8</v>
      </c>
      <c r="F44" s="39">
        <f>+'Wheat Graze Out'!F44</f>
        <v>0</v>
      </c>
      <c r="G44" s="33">
        <f t="shared" si="1"/>
        <v>0</v>
      </c>
      <c r="K44" s="1"/>
      <c r="L44" s="1"/>
      <c r="M44" s="1"/>
      <c r="N44" s="1"/>
      <c r="O44" s="1"/>
      <c r="P44" s="1"/>
    </row>
    <row r="45" spans="1:16" ht="14.65" thickBot="1" x14ac:dyDescent="0.5">
      <c r="A45" s="25"/>
      <c r="B45" s="34" t="s">
        <v>43</v>
      </c>
      <c r="C45" s="34"/>
      <c r="D45" s="34">
        <v>1</v>
      </c>
      <c r="E45" s="34" t="s">
        <v>8</v>
      </c>
      <c r="F45" s="39">
        <f>+'Wheat Graze Out'!F45</f>
        <v>0</v>
      </c>
      <c r="G45" s="36">
        <f t="shared" si="1"/>
        <v>0</v>
      </c>
      <c r="K45" s="1"/>
      <c r="L45" s="1"/>
      <c r="M45" s="1"/>
      <c r="N45" s="1"/>
      <c r="O45" s="1"/>
      <c r="P45" s="1"/>
    </row>
    <row r="46" spans="1:16" ht="14.65" thickTop="1" x14ac:dyDescent="0.45">
      <c r="A46" s="25"/>
      <c r="B46" s="25"/>
      <c r="C46" s="25"/>
      <c r="D46" s="25"/>
      <c r="E46" s="25"/>
      <c r="F46" s="25"/>
      <c r="G46" s="25"/>
      <c r="K46" s="1"/>
      <c r="L46" s="1"/>
      <c r="M46" s="1"/>
      <c r="N46" s="1"/>
      <c r="O46" s="1"/>
      <c r="P46" s="1"/>
    </row>
    <row r="47" spans="1:16" ht="14.65" thickBot="1" x14ac:dyDescent="0.5">
      <c r="A47" s="25" t="s">
        <v>44</v>
      </c>
      <c r="B47" s="25"/>
      <c r="C47" s="25"/>
      <c r="D47" s="25"/>
      <c r="E47" s="25"/>
      <c r="F47" s="25"/>
      <c r="G47" s="36">
        <f>SUM(G37:G45)</f>
        <v>80.73</v>
      </c>
      <c r="K47" s="1"/>
      <c r="L47" s="1"/>
      <c r="M47" s="1"/>
      <c r="N47" s="1"/>
      <c r="O47" s="1"/>
      <c r="P47" s="1"/>
    </row>
    <row r="48" spans="1:16" ht="14.65" thickTop="1" x14ac:dyDescent="0.45">
      <c r="A48" s="25"/>
      <c r="B48" s="25"/>
      <c r="C48" s="25"/>
      <c r="D48" s="25"/>
      <c r="E48" s="25"/>
      <c r="F48" s="25"/>
      <c r="G48" s="25"/>
      <c r="K48" s="1"/>
      <c r="L48" s="1"/>
      <c r="M48" s="1"/>
      <c r="N48" s="1"/>
      <c r="O48" s="1"/>
      <c r="P48" s="1"/>
    </row>
    <row r="49" spans="1:16" ht="14.65" thickBot="1" x14ac:dyDescent="0.5">
      <c r="A49" s="25" t="s">
        <v>45</v>
      </c>
      <c r="B49" s="25"/>
      <c r="C49" s="25"/>
      <c r="D49" s="25"/>
      <c r="E49" s="25"/>
      <c r="F49" s="25"/>
      <c r="G49" s="36">
        <f>+G31+G47</f>
        <v>410.01381200000003</v>
      </c>
      <c r="K49" s="1"/>
      <c r="L49" s="1"/>
      <c r="M49" s="1"/>
      <c r="N49" s="1"/>
      <c r="O49" s="1"/>
      <c r="P49" s="1"/>
    </row>
    <row r="50" spans="1:16" ht="14.65" thickTop="1" x14ac:dyDescent="0.45">
      <c r="A50" s="25"/>
      <c r="B50" s="25"/>
      <c r="C50" s="25"/>
      <c r="D50" s="25"/>
      <c r="E50" s="25"/>
      <c r="F50" s="25"/>
      <c r="G50" s="25"/>
      <c r="K50" s="1"/>
      <c r="L50" s="1"/>
      <c r="M50" s="1"/>
      <c r="N50" s="1"/>
      <c r="O50" s="1"/>
      <c r="P50" s="1"/>
    </row>
    <row r="51" spans="1:16" x14ac:dyDescent="0.45">
      <c r="A51" s="25" t="s">
        <v>46</v>
      </c>
      <c r="B51" s="25"/>
      <c r="C51" s="25"/>
      <c r="D51" s="25"/>
      <c r="E51" s="25"/>
      <c r="F51" s="25"/>
      <c r="G51" s="33">
        <f>+G7-G49</f>
        <v>-148.01381200000003</v>
      </c>
      <c r="K51" s="1"/>
      <c r="L51" s="1"/>
      <c r="M51" s="1"/>
      <c r="N51" s="1"/>
      <c r="O51" s="1"/>
      <c r="P51" s="1"/>
    </row>
    <row r="52" spans="1:16" ht="14.65" thickBot="1" x14ac:dyDescent="0.5">
      <c r="A52" s="48" t="s">
        <v>47</v>
      </c>
      <c r="B52" s="48"/>
      <c r="C52" s="48"/>
      <c r="D52" s="48"/>
      <c r="E52" s="48"/>
      <c r="F52" s="49">
        <f>IF(D3=0,"n/a",(G49-G4-G5-G6)/D3)</f>
        <v>0.8900345300000001</v>
      </c>
      <c r="G52" s="48"/>
      <c r="K52" s="1"/>
      <c r="L52" s="1"/>
      <c r="M52" s="1"/>
      <c r="N52" s="1"/>
      <c r="O52" s="1"/>
      <c r="P52" s="1"/>
    </row>
    <row r="53" spans="1:16" ht="14.65" thickTop="1" x14ac:dyDescent="0.45">
      <c r="K53" s="1"/>
      <c r="L53" s="1"/>
      <c r="M53" s="1"/>
      <c r="N53" s="1"/>
      <c r="O53" s="1"/>
      <c r="P53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U N l T 8 u 9 i V + n A A A A + Q A A A B I A H A B D b 2 5 m a W c v U G F j a 2 F n Z S 5 4 b W w g o h g A K K A U A A A A A A A A A A A A A A A A A A A A A A A A A A A A h Y 8 x D o I w G E a v Q r r T l h K r I T 9 l c J X E h G h c G 6 z Q C M X Q Y r m b g 0 f y C p I o 6 u b 4 v b z h f Y / b H b K x b Y K r 6 q 3 u T I o i T F G g T N k d t a l S N L h T u E K Z g K 0 s z 7 J S w S Q b m 4 z 2 m K L a u U t C i P c e + x h 3 f U U Y p R E 5 5 J u i r F U r 0 U f W / + V Q G + u k K R U S s H / F C I Y 5 x 4 t 4 y X H E G Q M y c 8 i 1 + T p s S s Y U y A + E 9 d C 4 o V d C m X B X A J k n k P c N 8 Q R Q S w M E F A A C A A g A R U N l T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D Z U 8 o i k e 4 D g A A A B E A A A A T A B w A R m 9 y b X V s Y X M v U 2 V j d G l v b j E u b S C i G A A o o B Q A A A A A A A A A A A A A A A A A A A A A A A A A A A A r T k 0 u y c z P U w i G 0 I b W A F B L A Q I t A B Q A A g A I A E V D Z U / L v Y l f p w A A A P k A A A A S A A A A A A A A A A A A A A A A A A A A A A B D b 2 5 m a W c v U G F j a 2 F n Z S 5 4 b W x Q S w E C L Q A U A A I A C A B F Q 2 V P D 8 r p q 6 Q A A A D p A A A A E w A A A A A A A A A A A A A A A A D z A A A A W 0 N v b n R l b n R f V H l w Z X N d L n h t b F B L A Q I t A B Q A A g A I A E V D Z U 8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P F p S R 5 s 0 l Q o f 6 i S 0 W F / t e A A A A A A I A A A A A A B B m A A A A A Q A A I A A A A M J m 2 G l h b x L L / v B 4 u L 3 2 k F N k M P K r q G z X Q U t X E t p 7 R h m 3 A A A A A A 6 A A A A A A g A A I A A A A G 1 K 6 K Z 6 9 B T W T k l 1 K i j I W Z 2 S 9 S q O m x 7 g 8 s u e H B 4 m m A z S U A A A A C S w O c S 4 u + o S 7 S E D r E x M Y e f Z K d r O O F m o e y n k h r j R x y C M G O 0 t m f N l q m K n C 5 1 Z 1 Z g 5 A b 0 9 X R t j W K b c o L y 1 C N G d q o X S d d d P Y A C r 8 S I 8 Z K L C Y m / / Q A A A A F P i V e W E S v t c V 5 h m l n O U C N T p G 2 3 I 0 e 8 u O v v 0 N G V X 7 L 8 C 0 / d N G P + f A N S G f 2 U 3 4 8 H N c + v Q p 0 Z r W A J u 9 8 C G t m L 5 B 0 c = < / D a t a M a s h u p > 
</file>

<file path=customXml/itemProps1.xml><?xml version="1.0" encoding="utf-8"?>
<ds:datastoreItem xmlns:ds="http://schemas.openxmlformats.org/officeDocument/2006/customXml" ds:itemID="{9655B04E-5A2C-48FA-B026-DFEA2D69F6C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Assumptions</vt:lpstr>
      <vt:lpstr>Summer Crops Margins</vt:lpstr>
      <vt:lpstr>Wheat Farm Margins</vt:lpstr>
      <vt:lpstr>Wheat Grain</vt:lpstr>
      <vt:lpstr>Wheat Dual  ~700Lb</vt:lpstr>
      <vt:lpstr>Wheat Dual ~800Lb</vt:lpstr>
      <vt:lpstr>Wheat Graze Out</vt:lpstr>
      <vt:lpstr>Irrigated Wheat</vt:lpstr>
      <vt:lpstr>Cotton</vt:lpstr>
      <vt:lpstr>Irrigated Cotton</vt:lpstr>
      <vt:lpstr>Sorghum</vt:lpstr>
      <vt:lpstr>Corn Irrigated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Pancho J. Abello</dc:creator>
  <cp:lastModifiedBy>Francisco Abello</cp:lastModifiedBy>
  <dcterms:created xsi:type="dcterms:W3CDTF">2019-09-30T18:21:19Z</dcterms:created>
  <dcterms:modified xsi:type="dcterms:W3CDTF">2020-03-30T21:59:52Z</dcterms:modified>
</cp:coreProperties>
</file>